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omments6.xml" ContentType="application/vnd.openxmlformats-officedocument.spreadsheetml.comments+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ml.chartshape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mc:AlternateContent xmlns:mc="http://schemas.openxmlformats.org/markup-compatibility/2006">
    <mc:Choice Requires="x15">
      <x15ac:absPath xmlns:x15ac="http://schemas.microsoft.com/office/spreadsheetml/2010/11/ac" url="https://chalmersindustriteknik.sharepoint.com/sites/CITEnergymanagement/Delade dokument/Personliga Mappar/Karin/1 Aktuella projekt/21033 SGBC/Slutgiltligt/Redovisningsverktyget/"/>
    </mc:Choice>
  </mc:AlternateContent>
  <xr:revisionPtr revIDLastSave="92" documentId="8_{2533D01B-8722-49FC-8A82-DD6D880F3E6F}" xr6:coauthVersionLast="47" xr6:coauthVersionMax="47" xr10:uidLastSave="{FBCE7577-2D6A-4A01-BAB7-58DE6190DAB2}"/>
  <workbookProtection workbookAlgorithmName="SHA-512" workbookHashValue="aPALI2ES/eS4pdFrdTwM1i2BZZLWfuGx3Glm0b1Xj3lgLdpU/vh/8dT21nJKRiQ3QKC0nDwpiKoZxfiZs1kavg==" workbookSaltValue="xHrd0ITbyhNqgZTA5dHlyg==" workbookSpinCount="100000" lockStructure="1"/>
  <bookViews>
    <workbookView xWindow="-120" yWindow="-120" windowWidth="29040" windowHeight="15720" tabRatio="799" activeTab="3" xr2:uid="{04534B4E-51E4-4EFA-9365-74AE6D18FA96}"/>
  </bookViews>
  <sheets>
    <sheet name="Om SGBC-verktyget " sheetId="18" r:id="rId1"/>
    <sheet name="Valbara orter" sheetId="19" r:id="rId2"/>
    <sheet name="Indata byggnad och BBR krav" sheetId="13" r:id="rId3"/>
    <sheet name="Mätvärden" sheetId="1" r:id="rId4"/>
    <sheet name="Mätvärden referensår" sheetId="17" r:id="rId5"/>
    <sheet name="Resultat" sheetId="12" r:id="rId6"/>
    <sheet name="Statistik" sheetId="14" r:id="rId7"/>
    <sheet name="Ortdata" sheetId="6" state="hidden" r:id="rId8"/>
    <sheet name="Ortlista" sheetId="7" state="hidden" r:id="rId9"/>
    <sheet name="Normalår" sheetId="8" state="hidden" r:id="rId10"/>
    <sheet name="Sänkningsvärde" sheetId="11" state="hidden" r:id="rId11"/>
  </sheets>
  <definedNames>
    <definedName name="_xlnm._FilterDatabase" localSheetId="1" hidden="1">'Valbara orter'!$B$9:$C$311</definedName>
    <definedName name="getChart" localSheetId="0">IF(Resultat!$F$6="diagram 1",INDIRECT(Statistik!#REF!),IF(Resultat!$F$6="diagram 2",INDIRECT(Statistik!#REF!)))</definedName>
    <definedName name="getChart">IF(Resultat!$F$6="diagram 1",INDIRECT(Statistik!#REF!),IF(Resultat!$F$6="diagram 2",INDIRECT(Statistik!#REF!)))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15" i="13" l="1"/>
  <c r="C25" i="13" s="1"/>
  <c r="C32" i="13"/>
  <c r="E15" i="13" l="1"/>
  <c r="Q9" i="13"/>
  <c r="D7" i="13"/>
  <c r="D24" i="13" s="1"/>
  <c r="G1" i="8" l="1"/>
  <c r="F1" i="8" s="1"/>
  <c r="D25" i="13"/>
  <c r="R78" i="8"/>
  <c r="R79" i="8"/>
  <c r="R80" i="8"/>
  <c r="R81" i="8"/>
  <c r="R82" i="8"/>
  <c r="R83" i="8"/>
  <c r="R84" i="8"/>
  <c r="R85" i="8"/>
  <c r="R86" i="8"/>
  <c r="R87" i="8"/>
  <c r="R88" i="8"/>
  <c r="L88" i="8"/>
  <c r="L87" i="8"/>
  <c r="L86" i="8"/>
  <c r="L85" i="8"/>
  <c r="L84" i="8"/>
  <c r="L83" i="8"/>
  <c r="L82" i="8"/>
  <c r="L81" i="8"/>
  <c r="L80" i="8"/>
  <c r="L79" i="8"/>
  <c r="L78" i="8"/>
  <c r="L77" i="8"/>
  <c r="R77" i="8"/>
  <c r="G41" i="1" l="1"/>
  <c r="D29" i="13"/>
  <c r="B303" i="7" l="1"/>
  <c r="J31" i="17" l="1"/>
  <c r="F19" i="17"/>
  <c r="J75" i="1" l="1"/>
  <c r="DQ34" i="17"/>
  <c r="DP34" i="17"/>
  <c r="DO34" i="17"/>
  <c r="DN34" i="17"/>
  <c r="DN34" i="1"/>
  <c r="DO34" i="1"/>
  <c r="DP34" i="1"/>
  <c r="DQ34" i="1"/>
  <c r="D196" i="1"/>
  <c r="D200" i="17"/>
  <c r="D196" i="17" l="1"/>
  <c r="BO3" i="17" s="1"/>
  <c r="D194" i="17"/>
  <c r="D201" i="17" s="1"/>
  <c r="P171" i="17"/>
  <c r="M171" i="17"/>
  <c r="J171" i="17"/>
  <c r="O170" i="17"/>
  <c r="L170" i="17"/>
  <c r="I170" i="17"/>
  <c r="O169" i="17"/>
  <c r="L169" i="17"/>
  <c r="I169" i="17"/>
  <c r="O168" i="17"/>
  <c r="L168" i="17"/>
  <c r="I168" i="17"/>
  <c r="O167" i="17"/>
  <c r="L167" i="17"/>
  <c r="I167" i="17"/>
  <c r="O166" i="17"/>
  <c r="L166" i="17"/>
  <c r="I166" i="17"/>
  <c r="O165" i="17"/>
  <c r="L165" i="17"/>
  <c r="I165" i="17"/>
  <c r="O164" i="17"/>
  <c r="L164" i="17"/>
  <c r="I164" i="17"/>
  <c r="O163" i="17"/>
  <c r="L163" i="17"/>
  <c r="I163" i="17"/>
  <c r="O162" i="17"/>
  <c r="L162" i="17"/>
  <c r="I162" i="17"/>
  <c r="O161" i="17"/>
  <c r="L161" i="17"/>
  <c r="I161" i="17"/>
  <c r="O160" i="17"/>
  <c r="L160" i="17"/>
  <c r="I160" i="17"/>
  <c r="O159" i="17"/>
  <c r="L159" i="17"/>
  <c r="I159" i="17"/>
  <c r="G155" i="17"/>
  <c r="EI45" i="17" s="1"/>
  <c r="EI46" i="17" s="1"/>
  <c r="G154" i="17"/>
  <c r="F159" i="17" s="1"/>
  <c r="AF147" i="17"/>
  <c r="AE147" i="17"/>
  <c r="AK147" i="17" s="1"/>
  <c r="AD147" i="17"/>
  <c r="AA147" i="17"/>
  <c r="Z147" i="17"/>
  <c r="Y147" i="17"/>
  <c r="Y151" i="17" s="1"/>
  <c r="V146" i="17"/>
  <c r="S146" i="17"/>
  <c r="P146" i="17"/>
  <c r="M146" i="17"/>
  <c r="J146" i="17"/>
  <c r="U145" i="17"/>
  <c r="R145" i="17"/>
  <c r="O145" i="17"/>
  <c r="L145" i="17"/>
  <c r="I145" i="17"/>
  <c r="U144" i="17"/>
  <c r="R144" i="17"/>
  <c r="O144" i="17"/>
  <c r="L144" i="17"/>
  <c r="I144" i="17"/>
  <c r="U143" i="17"/>
  <c r="R143" i="17"/>
  <c r="O143" i="17"/>
  <c r="L143" i="17"/>
  <c r="I143" i="17"/>
  <c r="U142" i="17"/>
  <c r="R142" i="17"/>
  <c r="O142" i="17"/>
  <c r="L142" i="17"/>
  <c r="I142" i="17"/>
  <c r="AR141" i="17"/>
  <c r="AB141" i="17" s="1"/>
  <c r="AO141" i="17"/>
  <c r="Y141" i="17" s="1"/>
  <c r="AN141" i="17"/>
  <c r="AH141" i="17" s="1"/>
  <c r="AM141" i="17"/>
  <c r="AG141" i="17" s="1"/>
  <c r="AL141" i="17"/>
  <c r="AF141" i="17" s="1"/>
  <c r="U141" i="17"/>
  <c r="R141" i="17"/>
  <c r="O141" i="17"/>
  <c r="L141" i="17"/>
  <c r="I141" i="17"/>
  <c r="AR140" i="17"/>
  <c r="AB140" i="17" s="1"/>
  <c r="AO140" i="17"/>
  <c r="Y140" i="17" s="1"/>
  <c r="AN140" i="17"/>
  <c r="AH140" i="17" s="1"/>
  <c r="AM140" i="17"/>
  <c r="AG140" i="17" s="1"/>
  <c r="AL140" i="17"/>
  <c r="AF140" i="17" s="1"/>
  <c r="U140" i="17"/>
  <c r="R140" i="17"/>
  <c r="O140" i="17"/>
  <c r="L140" i="17"/>
  <c r="I140" i="17"/>
  <c r="AR139" i="17"/>
  <c r="AB139" i="17" s="1"/>
  <c r="AO139" i="17"/>
  <c r="Y139" i="17" s="1"/>
  <c r="AN139" i="17"/>
  <c r="AH139" i="17" s="1"/>
  <c r="AM139" i="17"/>
  <c r="AG139" i="17" s="1"/>
  <c r="AL139" i="17"/>
  <c r="AF139" i="17" s="1"/>
  <c r="U139" i="17"/>
  <c r="R139" i="17"/>
  <c r="O139" i="17"/>
  <c r="L139" i="17"/>
  <c r="I139" i="17"/>
  <c r="AR138" i="17"/>
  <c r="AB138" i="17" s="1"/>
  <c r="AO138" i="17"/>
  <c r="Y138" i="17" s="1"/>
  <c r="AN138" i="17"/>
  <c r="AH138" i="17" s="1"/>
  <c r="AM138" i="17"/>
  <c r="AG138" i="17" s="1"/>
  <c r="AL138" i="17"/>
  <c r="AF138" i="17" s="1"/>
  <c r="U138" i="17"/>
  <c r="R138" i="17"/>
  <c r="O138" i="17"/>
  <c r="L138" i="17"/>
  <c r="I138" i="17"/>
  <c r="AR137" i="17"/>
  <c r="AB137" i="17" s="1"/>
  <c r="AO137" i="17"/>
  <c r="Y137" i="17" s="1"/>
  <c r="AN137" i="17"/>
  <c r="AH137" i="17" s="1"/>
  <c r="AM137" i="17"/>
  <c r="AG137" i="17" s="1"/>
  <c r="AL137" i="17"/>
  <c r="AF137" i="17" s="1"/>
  <c r="U137" i="17"/>
  <c r="R137" i="17"/>
  <c r="O137" i="17"/>
  <c r="L137" i="17"/>
  <c r="I137" i="17"/>
  <c r="AR136" i="17"/>
  <c r="AB136" i="17" s="1"/>
  <c r="AO136" i="17"/>
  <c r="Y136" i="17" s="1"/>
  <c r="AN136" i="17"/>
  <c r="AH136" i="17" s="1"/>
  <c r="AM136" i="17"/>
  <c r="AG136" i="17" s="1"/>
  <c r="AL136" i="17"/>
  <c r="AF136" i="17" s="1"/>
  <c r="U136" i="17"/>
  <c r="R136" i="17"/>
  <c r="O136" i="17"/>
  <c r="L136" i="17"/>
  <c r="I136" i="17"/>
  <c r="AR135" i="17"/>
  <c r="AB135" i="17" s="1"/>
  <c r="AO135" i="17"/>
  <c r="Y135" i="17" s="1"/>
  <c r="AN135" i="17"/>
  <c r="AH135" i="17" s="1"/>
  <c r="AM135" i="17"/>
  <c r="AG135" i="17" s="1"/>
  <c r="AL135" i="17"/>
  <c r="AF135" i="17" s="1"/>
  <c r="U135" i="17"/>
  <c r="R135" i="17"/>
  <c r="O135" i="17"/>
  <c r="L135" i="17"/>
  <c r="I135" i="17"/>
  <c r="AR134" i="17"/>
  <c r="AB134" i="17" s="1"/>
  <c r="AO134" i="17"/>
  <c r="Y134" i="17" s="1"/>
  <c r="AN134" i="17"/>
  <c r="AH134" i="17" s="1"/>
  <c r="AM134" i="17"/>
  <c r="AG134" i="17" s="1"/>
  <c r="AL134" i="17"/>
  <c r="AF134" i="17" s="1"/>
  <c r="U134" i="17"/>
  <c r="R134" i="17"/>
  <c r="O134" i="17"/>
  <c r="L134" i="17"/>
  <c r="I134" i="17"/>
  <c r="AR133" i="17"/>
  <c r="AB133" i="17" s="1"/>
  <c r="AO133" i="17"/>
  <c r="Y133" i="17" s="1"/>
  <c r="AN133" i="17"/>
  <c r="AH133" i="17" s="1"/>
  <c r="AM133" i="17"/>
  <c r="AG133" i="17" s="1"/>
  <c r="AL133" i="17"/>
  <c r="AF133" i="17" s="1"/>
  <c r="AR132" i="17"/>
  <c r="AB132" i="17" s="1"/>
  <c r="AO132" i="17"/>
  <c r="Y132" i="17" s="1"/>
  <c r="AN132" i="17"/>
  <c r="AH132" i="17" s="1"/>
  <c r="AM132" i="17"/>
  <c r="AG132" i="17" s="1"/>
  <c r="AL132" i="17"/>
  <c r="AF132" i="17" s="1"/>
  <c r="AR131" i="17"/>
  <c r="AB131" i="17" s="1"/>
  <c r="AO131" i="17"/>
  <c r="Y131" i="17" s="1"/>
  <c r="AN131" i="17"/>
  <c r="AH131" i="17" s="1"/>
  <c r="AM131" i="17"/>
  <c r="AG131" i="17" s="1"/>
  <c r="AL131" i="17"/>
  <c r="AF131" i="17" s="1"/>
  <c r="AR130" i="17"/>
  <c r="AB130" i="17" s="1"/>
  <c r="AO130" i="17"/>
  <c r="Y130" i="17" s="1"/>
  <c r="AN130" i="17"/>
  <c r="AH130" i="17" s="1"/>
  <c r="AM130" i="17"/>
  <c r="AG130" i="17" s="1"/>
  <c r="AL130" i="17"/>
  <c r="AF130" i="17" s="1"/>
  <c r="G130" i="17"/>
  <c r="AU129" i="17"/>
  <c r="AU140" i="17" s="1"/>
  <c r="AT129" i="17"/>
  <c r="AS129" i="17"/>
  <c r="AR129" i="17"/>
  <c r="AQ129" i="17"/>
  <c r="AP129" i="17"/>
  <c r="AO129" i="17"/>
  <c r="AN129" i="17"/>
  <c r="AM129" i="17"/>
  <c r="AL129" i="17"/>
  <c r="AK129" i="17"/>
  <c r="G129" i="17"/>
  <c r="F134" i="17" s="1"/>
  <c r="P120" i="17"/>
  <c r="M120" i="17"/>
  <c r="J120" i="17"/>
  <c r="O119" i="17"/>
  <c r="L119" i="17"/>
  <c r="I119" i="17"/>
  <c r="O118" i="17"/>
  <c r="L118" i="17"/>
  <c r="I118" i="17"/>
  <c r="O117" i="17"/>
  <c r="L117" i="17"/>
  <c r="I117" i="17"/>
  <c r="AD116" i="17"/>
  <c r="O116" i="17"/>
  <c r="L116" i="17"/>
  <c r="I116" i="17"/>
  <c r="AD115" i="17"/>
  <c r="O115" i="17"/>
  <c r="L115" i="17"/>
  <c r="I115" i="17"/>
  <c r="AD114" i="17"/>
  <c r="O114" i="17"/>
  <c r="L114" i="17"/>
  <c r="I114" i="17"/>
  <c r="AD113" i="17"/>
  <c r="O113" i="17"/>
  <c r="L113" i="17"/>
  <c r="I113" i="17"/>
  <c r="AD112" i="17"/>
  <c r="O112" i="17"/>
  <c r="L112" i="17"/>
  <c r="I112" i="17"/>
  <c r="AD111" i="17"/>
  <c r="O111" i="17"/>
  <c r="L111" i="17"/>
  <c r="I111" i="17"/>
  <c r="AD110" i="17"/>
  <c r="O110" i="17"/>
  <c r="L110" i="17"/>
  <c r="I110" i="17"/>
  <c r="D110" i="17"/>
  <c r="AD109" i="17"/>
  <c r="O109" i="17"/>
  <c r="L109" i="17"/>
  <c r="I109" i="17"/>
  <c r="AD108" i="17"/>
  <c r="O108" i="17"/>
  <c r="L108" i="17"/>
  <c r="I108" i="17"/>
  <c r="AD107" i="17"/>
  <c r="AD106" i="17"/>
  <c r="AD105" i="17"/>
  <c r="G104" i="17"/>
  <c r="EI39" i="17" s="1"/>
  <c r="EI40" i="17" s="1"/>
  <c r="G103" i="17"/>
  <c r="F108" i="17" s="1"/>
  <c r="AA102" i="17"/>
  <c r="Z102" i="17"/>
  <c r="Y102" i="17"/>
  <c r="Y104" i="17" s="1"/>
  <c r="P97" i="17"/>
  <c r="M97" i="17"/>
  <c r="J97" i="17"/>
  <c r="L95" i="17"/>
  <c r="O94" i="17"/>
  <c r="L94" i="17"/>
  <c r="L91" i="17"/>
  <c r="O90" i="17"/>
  <c r="L90" i="17"/>
  <c r="L87" i="17"/>
  <c r="O86" i="17"/>
  <c r="L86" i="17"/>
  <c r="P84" i="17"/>
  <c r="O93" i="17" s="1"/>
  <c r="M84" i="17"/>
  <c r="L93" i="17" s="1"/>
  <c r="J84" i="17"/>
  <c r="I90" i="17" s="1"/>
  <c r="Y87" i="17" s="1"/>
  <c r="G81" i="17"/>
  <c r="EI35" i="17" s="1"/>
  <c r="EI36" i="17" s="1"/>
  <c r="G80" i="17"/>
  <c r="F85" i="17" s="1"/>
  <c r="BC78" i="17"/>
  <c r="BB78" i="17"/>
  <c r="BM77" i="17"/>
  <c r="BL77" i="17"/>
  <c r="AC76" i="17"/>
  <c r="AB76" i="17"/>
  <c r="AA76" i="17"/>
  <c r="AC75" i="17"/>
  <c r="AB75" i="17"/>
  <c r="AA75" i="17"/>
  <c r="P75" i="17"/>
  <c r="M75" i="17"/>
  <c r="J75" i="17"/>
  <c r="AC74" i="17"/>
  <c r="AB74" i="17"/>
  <c r="AA74" i="17"/>
  <c r="O74" i="17"/>
  <c r="L74" i="17"/>
  <c r="I74" i="17"/>
  <c r="Y76" i="17" s="1"/>
  <c r="AC73" i="17"/>
  <c r="AB73" i="17"/>
  <c r="AA73" i="17"/>
  <c r="O73" i="17"/>
  <c r="L73" i="17"/>
  <c r="I73" i="17"/>
  <c r="Y75" i="17" s="1"/>
  <c r="AC72" i="17"/>
  <c r="AB72" i="17"/>
  <c r="AA72" i="17"/>
  <c r="O72" i="17"/>
  <c r="L72" i="17"/>
  <c r="I72" i="17"/>
  <c r="Y74" i="17" s="1"/>
  <c r="AC71" i="17"/>
  <c r="AB71" i="17"/>
  <c r="AA71" i="17"/>
  <c r="O71" i="17"/>
  <c r="L71" i="17"/>
  <c r="I71" i="17"/>
  <c r="Y73" i="17" s="1"/>
  <c r="AC70" i="17"/>
  <c r="AB70" i="17"/>
  <c r="AA70" i="17"/>
  <c r="O70" i="17"/>
  <c r="L70" i="17"/>
  <c r="I70" i="17"/>
  <c r="Y72" i="17" s="1"/>
  <c r="AC69" i="17"/>
  <c r="AB69" i="17"/>
  <c r="AA69" i="17"/>
  <c r="O69" i="17"/>
  <c r="L69" i="17"/>
  <c r="I69" i="17"/>
  <c r="Y71" i="17" s="1"/>
  <c r="AC68" i="17"/>
  <c r="AB68" i="17"/>
  <c r="AA68" i="17"/>
  <c r="O68" i="17"/>
  <c r="L68" i="17"/>
  <c r="I68" i="17"/>
  <c r="Y70" i="17" s="1"/>
  <c r="AC67" i="17"/>
  <c r="AB67" i="17"/>
  <c r="AA67" i="17"/>
  <c r="O67" i="17"/>
  <c r="L67" i="17"/>
  <c r="I67" i="17"/>
  <c r="Y69" i="17" s="1"/>
  <c r="AC66" i="17"/>
  <c r="AB66" i="17"/>
  <c r="AA66" i="17"/>
  <c r="O66" i="17"/>
  <c r="L66" i="17"/>
  <c r="I66" i="17"/>
  <c r="Y68" i="17" s="1"/>
  <c r="AC65" i="17"/>
  <c r="AB65" i="17"/>
  <c r="AA65" i="17"/>
  <c r="O65" i="17"/>
  <c r="L65" i="17"/>
  <c r="I65" i="17"/>
  <c r="Y67" i="17" s="1"/>
  <c r="O64" i="17"/>
  <c r="L64" i="17"/>
  <c r="I64" i="17"/>
  <c r="Y66" i="17" s="1"/>
  <c r="O63" i="17"/>
  <c r="L63" i="17"/>
  <c r="I63" i="17"/>
  <c r="P60" i="17"/>
  <c r="M60" i="17"/>
  <c r="J60" i="17"/>
  <c r="F60" i="17"/>
  <c r="AC57" i="17"/>
  <c r="AB57" i="17"/>
  <c r="AA57" i="17"/>
  <c r="P57" i="17"/>
  <c r="M57" i="17"/>
  <c r="J57" i="17"/>
  <c r="AC55" i="17"/>
  <c r="AK55" i="17" s="1"/>
  <c r="AB55" i="17"/>
  <c r="AA55" i="17"/>
  <c r="AC54" i="17"/>
  <c r="AB54" i="17"/>
  <c r="AA54" i="17"/>
  <c r="O54" i="17"/>
  <c r="AC53" i="17"/>
  <c r="AB53" i="17"/>
  <c r="AA53" i="17"/>
  <c r="AC52" i="17"/>
  <c r="AB52" i="17"/>
  <c r="AJ73" i="17" s="1"/>
  <c r="AA52" i="17"/>
  <c r="BK51" i="17"/>
  <c r="BB51" i="17"/>
  <c r="AC51" i="17"/>
  <c r="AB51" i="17"/>
  <c r="AA51" i="17"/>
  <c r="AC50" i="17"/>
  <c r="AB50" i="17"/>
  <c r="AA50" i="17"/>
  <c r="AC49" i="17"/>
  <c r="AK49" i="17" s="1"/>
  <c r="AB49" i="17"/>
  <c r="AJ49" i="17" s="1"/>
  <c r="AA49" i="17"/>
  <c r="BK48" i="17"/>
  <c r="BB48" i="17"/>
  <c r="AC48" i="17"/>
  <c r="AB48" i="17"/>
  <c r="AA48" i="17"/>
  <c r="O48" i="17"/>
  <c r="AC47" i="17"/>
  <c r="AB47" i="17"/>
  <c r="AA47" i="17"/>
  <c r="AI47" i="17" s="1"/>
  <c r="O47" i="17"/>
  <c r="AC46" i="17"/>
  <c r="AB46" i="17"/>
  <c r="AA46" i="17"/>
  <c r="L46" i="17"/>
  <c r="AC45" i="17"/>
  <c r="AK45" i="17" s="1"/>
  <c r="AB45" i="17"/>
  <c r="AA45" i="17"/>
  <c r="O45" i="17"/>
  <c r="L45" i="17"/>
  <c r="AC44" i="17"/>
  <c r="AB44" i="17"/>
  <c r="AJ44" i="17" s="1"/>
  <c r="AA44" i="17"/>
  <c r="P44" i="17"/>
  <c r="O51" i="17" s="1"/>
  <c r="M44" i="17"/>
  <c r="L48" i="17" s="1"/>
  <c r="J44" i="17"/>
  <c r="I50" i="17" s="1"/>
  <c r="Y49" i="17" s="1"/>
  <c r="EI42" i="17"/>
  <c r="EI43" i="17" s="1"/>
  <c r="G41" i="17"/>
  <c r="EI31" i="17" s="1"/>
  <c r="EI32" i="17" s="1"/>
  <c r="G40" i="17"/>
  <c r="AC32" i="17"/>
  <c r="AB32" i="17"/>
  <c r="AA32" i="17"/>
  <c r="P31" i="17"/>
  <c r="M31" i="17"/>
  <c r="AC30" i="17"/>
  <c r="AB30" i="17"/>
  <c r="AA30" i="17"/>
  <c r="AC29" i="17"/>
  <c r="AB29" i="17"/>
  <c r="BC29" i="17" s="1"/>
  <c r="AA29" i="17"/>
  <c r="BB29" i="17" s="1"/>
  <c r="AC28" i="17"/>
  <c r="BD28" i="17" s="1"/>
  <c r="AB28" i="17"/>
  <c r="BC28" i="17" s="1"/>
  <c r="AA28" i="17"/>
  <c r="BB28" i="17" s="1"/>
  <c r="EI27" i="17"/>
  <c r="EI28" i="17" s="1"/>
  <c r="AC27" i="17"/>
  <c r="AB27" i="17"/>
  <c r="BC27" i="17" s="1"/>
  <c r="AA27" i="17"/>
  <c r="AC26" i="17"/>
  <c r="AB26" i="17"/>
  <c r="BC26" i="17" s="1"/>
  <c r="AA26" i="17"/>
  <c r="AC25" i="17"/>
  <c r="AB25" i="17"/>
  <c r="BC25" i="17" s="1"/>
  <c r="AA25" i="17"/>
  <c r="BB25" i="17" s="1"/>
  <c r="L25" i="17"/>
  <c r="AC24" i="17"/>
  <c r="BD24" i="17" s="1"/>
  <c r="AB24" i="17"/>
  <c r="BC24" i="17" s="1"/>
  <c r="AA24" i="17"/>
  <c r="BB24" i="17" s="1"/>
  <c r="AC23" i="17"/>
  <c r="BD23" i="17" s="1"/>
  <c r="AB23" i="17"/>
  <c r="BC23" i="17" s="1"/>
  <c r="AA23" i="17"/>
  <c r="L23" i="17"/>
  <c r="AC22" i="17"/>
  <c r="AB22" i="17"/>
  <c r="AA22" i="17"/>
  <c r="BB22" i="17" s="1"/>
  <c r="AC21" i="17"/>
  <c r="BD21" i="17" s="1"/>
  <c r="AB21" i="17"/>
  <c r="AA21" i="17"/>
  <c r="L21" i="17"/>
  <c r="AC20" i="17"/>
  <c r="AB20" i="17"/>
  <c r="AA20" i="17"/>
  <c r="BB20" i="17" s="1"/>
  <c r="AC19" i="17"/>
  <c r="BD19" i="17" s="1"/>
  <c r="AB19" i="17"/>
  <c r="AA19" i="17"/>
  <c r="BB19" i="17" s="1"/>
  <c r="L19" i="17"/>
  <c r="P18" i="17"/>
  <c r="O22" i="17" s="1"/>
  <c r="M18" i="17"/>
  <c r="L24" i="17" s="1"/>
  <c r="J18" i="17"/>
  <c r="I30" i="17" s="1"/>
  <c r="Y30" i="17" s="1"/>
  <c r="BH16" i="17"/>
  <c r="BI16" i="17" s="1"/>
  <c r="BH15" i="17"/>
  <c r="BI15" i="17" s="1"/>
  <c r="BH21" i="17" s="1"/>
  <c r="BI21" i="17" s="1"/>
  <c r="BJ21" i="17" s="1"/>
  <c r="BK21" i="17" s="1"/>
  <c r="EX14" i="17"/>
  <c r="EY13" i="17"/>
  <c r="EY12" i="17"/>
  <c r="EY11" i="17"/>
  <c r="EY10" i="17"/>
  <c r="FC9" i="17"/>
  <c r="FB9" i="17"/>
  <c r="FA9" i="17"/>
  <c r="EY9" i="17"/>
  <c r="EY8" i="17"/>
  <c r="EY7" i="17"/>
  <c r="EY6" i="17"/>
  <c r="BO6" i="17"/>
  <c r="EY5" i="17"/>
  <c r="BO5" i="17"/>
  <c r="EY4" i="17"/>
  <c r="BO4" i="17"/>
  <c r="EY3" i="17"/>
  <c r="AC65" i="1"/>
  <c r="AB65" i="1"/>
  <c r="AA65" i="1"/>
  <c r="AS136" i="17" l="1"/>
  <c r="AC136" i="17" s="1"/>
  <c r="AQ133" i="17"/>
  <c r="AA133" i="17" s="1"/>
  <c r="AK141" i="17"/>
  <c r="AE141" i="17" s="1"/>
  <c r="AK133" i="17"/>
  <c r="AE133" i="17" s="1"/>
  <c r="AS130" i="17"/>
  <c r="AC130" i="17" s="1"/>
  <c r="AK132" i="17"/>
  <c r="AE132" i="17" s="1"/>
  <c r="AS135" i="17"/>
  <c r="AC135" i="17" s="1"/>
  <c r="Z44" i="17"/>
  <c r="AH44" i="17" s="1"/>
  <c r="BH20" i="17"/>
  <c r="BI20" i="17" s="1"/>
  <c r="BJ20" i="17" s="1"/>
  <c r="BK20" i="17" s="1"/>
  <c r="L54" i="17"/>
  <c r="Z53" i="17" s="1"/>
  <c r="AH53" i="17" s="1"/>
  <c r="AS133" i="17"/>
  <c r="AC133" i="17" s="1"/>
  <c r="AK137" i="17"/>
  <c r="AE137" i="17" s="1"/>
  <c r="AK136" i="17"/>
  <c r="AE136" i="17" s="1"/>
  <c r="AK138" i="17"/>
  <c r="AE138" i="17" s="1"/>
  <c r="Y115" i="17"/>
  <c r="AK135" i="17"/>
  <c r="AE135" i="17" s="1"/>
  <c r="AS132" i="17"/>
  <c r="AC132" i="17" s="1"/>
  <c r="AK134" i="17"/>
  <c r="AE134" i="17" s="1"/>
  <c r="AS138" i="17"/>
  <c r="AC138" i="17" s="1"/>
  <c r="AS140" i="17"/>
  <c r="AC140" i="17" s="1"/>
  <c r="L49" i="17"/>
  <c r="L53" i="17"/>
  <c r="O87" i="17"/>
  <c r="O91" i="17"/>
  <c r="Z88" i="17" s="1"/>
  <c r="O95" i="17"/>
  <c r="Z92" i="17" s="1"/>
  <c r="AK130" i="17"/>
  <c r="AE130" i="17" s="1"/>
  <c r="AS134" i="17"/>
  <c r="AC134" i="17" s="1"/>
  <c r="AK140" i="17"/>
  <c r="AE140" i="17" s="1"/>
  <c r="L20" i="17"/>
  <c r="O49" i="17"/>
  <c r="O53" i="17"/>
  <c r="L88" i="17"/>
  <c r="L92" i="17"/>
  <c r="L96" i="17"/>
  <c r="AF102" i="17"/>
  <c r="AS131" i="17"/>
  <c r="AC131" i="17" s="1"/>
  <c r="AU132" i="17"/>
  <c r="AF151" i="17"/>
  <c r="AF153" i="17" s="1"/>
  <c r="L28" i="17"/>
  <c r="O88" i="17"/>
  <c r="O92" i="17"/>
  <c r="O96" i="17"/>
  <c r="AU130" i="17"/>
  <c r="AS139" i="17"/>
  <c r="AC139" i="17" s="1"/>
  <c r="AS141" i="17"/>
  <c r="AC141" i="17" s="1"/>
  <c r="L85" i="17"/>
  <c r="L89" i="17"/>
  <c r="AK131" i="17"/>
  <c r="AE131" i="17" s="1"/>
  <c r="AS137" i="17"/>
  <c r="AC137" i="17" s="1"/>
  <c r="Z68" i="17"/>
  <c r="AD68" i="17" s="1"/>
  <c r="Z72" i="17"/>
  <c r="O85" i="17"/>
  <c r="O89" i="17"/>
  <c r="AK139" i="17"/>
  <c r="AE139" i="17" s="1"/>
  <c r="AJ71" i="17"/>
  <c r="AQ25" i="17" s="1"/>
  <c r="AK73" i="17"/>
  <c r="AR27" i="17" s="1"/>
  <c r="AI69" i="17"/>
  <c r="AP23" i="17" s="1"/>
  <c r="Z90" i="17"/>
  <c r="AD90" i="17" s="1"/>
  <c r="AE90" i="17" s="1"/>
  <c r="AG90" i="17" s="1"/>
  <c r="Z83" i="17"/>
  <c r="BM79" i="17" s="1"/>
  <c r="Z87" i="17"/>
  <c r="Z91" i="17"/>
  <c r="BM87" i="17" s="1"/>
  <c r="I120" i="17"/>
  <c r="AK72" i="17"/>
  <c r="AK26" i="17" s="1"/>
  <c r="AJ67" i="17"/>
  <c r="AJ21" i="17" s="1"/>
  <c r="AI75" i="17"/>
  <c r="AI29" i="17" s="1"/>
  <c r="AI67" i="17"/>
  <c r="AP21" i="17" s="1"/>
  <c r="Z75" i="17"/>
  <c r="AD75" i="17" s="1"/>
  <c r="BB53" i="17"/>
  <c r="BB54" i="17" s="1"/>
  <c r="Y154" i="17"/>
  <c r="Y160" i="17"/>
  <c r="Y161" i="17"/>
  <c r="Y156" i="17"/>
  <c r="Y162" i="17"/>
  <c r="Y158" i="17"/>
  <c r="Y159" i="17"/>
  <c r="Y155" i="17"/>
  <c r="Y153" i="17"/>
  <c r="Y163" i="17"/>
  <c r="Y152" i="17"/>
  <c r="Y157" i="17"/>
  <c r="G29" i="17"/>
  <c r="BL29" i="17" s="1"/>
  <c r="BZ29" i="17" s="1"/>
  <c r="G28" i="17"/>
  <c r="BL28" i="17" s="1"/>
  <c r="BZ28" i="17" s="1"/>
  <c r="G23" i="17"/>
  <c r="BL23" i="17" s="1"/>
  <c r="BZ23" i="17" s="1"/>
  <c r="G19" i="17"/>
  <c r="BL19" i="17" s="1"/>
  <c r="BZ19" i="17" s="1"/>
  <c r="G26" i="17"/>
  <c r="AF63" i="12" s="1"/>
  <c r="G20" i="17"/>
  <c r="AF57" i="12" s="1"/>
  <c r="G22" i="17"/>
  <c r="AF59" i="12" s="1"/>
  <c r="G21" i="17"/>
  <c r="BL21" i="17" s="1"/>
  <c r="BZ21" i="17" s="1"/>
  <c r="G25" i="17"/>
  <c r="BL25" i="17" s="1"/>
  <c r="BZ25" i="17" s="1"/>
  <c r="G24" i="17"/>
  <c r="AF61" i="12" s="1"/>
  <c r="G27" i="17"/>
  <c r="AF64" i="12" s="1"/>
  <c r="AA151" i="17"/>
  <c r="AI74" i="17"/>
  <c r="AP28" i="17" s="1"/>
  <c r="I20" i="17"/>
  <c r="Y20" i="17" s="1"/>
  <c r="AZ20" i="17" s="1"/>
  <c r="AJ66" i="17"/>
  <c r="AJ20" i="17" s="1"/>
  <c r="AK67" i="17"/>
  <c r="AK21" i="17" s="1"/>
  <c r="L50" i="17"/>
  <c r="AJ76" i="17"/>
  <c r="AJ30" i="17" s="1"/>
  <c r="AQ131" i="17"/>
  <c r="AA131" i="17" s="1"/>
  <c r="EY14" i="17"/>
  <c r="I21" i="17"/>
  <c r="Y21" i="17" s="1"/>
  <c r="AZ21" i="17" s="1"/>
  <c r="AK75" i="17"/>
  <c r="AK29" i="17" s="1"/>
  <c r="AJ68" i="17"/>
  <c r="AQ22" i="17" s="1"/>
  <c r="AK71" i="17"/>
  <c r="AK25" i="17" s="1"/>
  <c r="Z104" i="17"/>
  <c r="AQ130" i="17"/>
  <c r="AA130" i="17" s="1"/>
  <c r="AU131" i="17"/>
  <c r="AQ132" i="17"/>
  <c r="AA132" i="17" s="1"/>
  <c r="AU133" i="17"/>
  <c r="AU137" i="17"/>
  <c r="AQ141" i="17"/>
  <c r="AA141" i="17" s="1"/>
  <c r="AI76" i="17"/>
  <c r="AP30" i="17" s="1"/>
  <c r="AI65" i="17"/>
  <c r="AI19" i="17" s="1"/>
  <c r="L51" i="17"/>
  <c r="Z50" i="17" s="1"/>
  <c r="AH50" i="17" s="1"/>
  <c r="AA104" i="17"/>
  <c r="AH104" i="17" s="1"/>
  <c r="BD104" i="17" s="1"/>
  <c r="BK53" i="17"/>
  <c r="BK54" i="17" s="1"/>
  <c r="AQ136" i="17"/>
  <c r="AA136" i="17" s="1"/>
  <c r="L146" i="17"/>
  <c r="Z73" i="17"/>
  <c r="AH73" i="17" s="1"/>
  <c r="Z71" i="17"/>
  <c r="AD71" i="17" s="1"/>
  <c r="Z66" i="17"/>
  <c r="AD66" i="17" s="1"/>
  <c r="Z70" i="17"/>
  <c r="AD70" i="17" s="1"/>
  <c r="Z74" i="17"/>
  <c r="AD74" i="17" s="1"/>
  <c r="AI46" i="17"/>
  <c r="AK50" i="17"/>
  <c r="AI44" i="17"/>
  <c r="AJ46" i="17"/>
  <c r="AI53" i="17"/>
  <c r="AK51" i="17"/>
  <c r="Z47" i="17"/>
  <c r="AH47" i="17" s="1"/>
  <c r="AJ50" i="17"/>
  <c r="AI54" i="17"/>
  <c r="AI48" i="17"/>
  <c r="AJ45" i="17"/>
  <c r="AJ47" i="17"/>
  <c r="AK52" i="17"/>
  <c r="AK76" i="17"/>
  <c r="AK30" i="17" s="1"/>
  <c r="AB77" i="17"/>
  <c r="AB78" i="17" s="1"/>
  <c r="BD26" i="17"/>
  <c r="BD30" i="17"/>
  <c r="BD25" i="17"/>
  <c r="BC22" i="17"/>
  <c r="AJ27" i="17"/>
  <c r="AQ27" i="17"/>
  <c r="BD29" i="17"/>
  <c r="BD27" i="17"/>
  <c r="BC21" i="17"/>
  <c r="BB30" i="17"/>
  <c r="L171" i="17"/>
  <c r="I171" i="17"/>
  <c r="AB142" i="17"/>
  <c r="AT134" i="17"/>
  <c r="AD134" i="17" s="1"/>
  <c r="L120" i="17"/>
  <c r="AD117" i="17"/>
  <c r="BC80" i="17"/>
  <c r="AI68" i="17"/>
  <c r="AI22" i="17" s="1"/>
  <c r="AJ70" i="17"/>
  <c r="AQ24" i="17" s="1"/>
  <c r="I75" i="17"/>
  <c r="Z69" i="17"/>
  <c r="AH69" i="17" s="1"/>
  <c r="AK70" i="17"/>
  <c r="AR24" i="17" s="1"/>
  <c r="L75" i="17"/>
  <c r="Z67" i="17"/>
  <c r="AD67" i="17" s="1"/>
  <c r="AD72" i="17"/>
  <c r="AC77" i="17"/>
  <c r="AC78" i="17" s="1"/>
  <c r="AK66" i="17"/>
  <c r="AK20" i="17" s="1"/>
  <c r="Y65" i="17"/>
  <c r="Y77" i="17" s="1"/>
  <c r="Z65" i="17"/>
  <c r="AH65" i="17" s="1"/>
  <c r="Z76" i="17"/>
  <c r="AD76" i="17" s="1"/>
  <c r="AA77" i="17"/>
  <c r="AA78" i="17" s="1"/>
  <c r="AB31" i="17"/>
  <c r="BO7" i="17"/>
  <c r="BH29" i="17"/>
  <c r="BI29" i="17" s="1"/>
  <c r="BJ29" i="17" s="1"/>
  <c r="BK29" i="17" s="1"/>
  <c r="BH26" i="17"/>
  <c r="BI26" i="17" s="1"/>
  <c r="BJ26" i="17" s="1"/>
  <c r="BK26" i="17" s="1"/>
  <c r="BH24" i="17"/>
  <c r="BI24" i="17" s="1"/>
  <c r="BJ24" i="17" s="1"/>
  <c r="BK24" i="17" s="1"/>
  <c r="BH25" i="17"/>
  <c r="BI25" i="17" s="1"/>
  <c r="BJ25" i="17" s="1"/>
  <c r="BK25" i="17" s="1"/>
  <c r="BH22" i="17"/>
  <c r="BI22" i="17" s="1"/>
  <c r="BJ22" i="17" s="1"/>
  <c r="BK22" i="17" s="1"/>
  <c r="BH27" i="17"/>
  <c r="BI27" i="17" s="1"/>
  <c r="BJ27" i="17" s="1"/>
  <c r="BK27" i="17" s="1"/>
  <c r="BH30" i="17"/>
  <c r="BI30" i="17" s="1"/>
  <c r="BJ30" i="17" s="1"/>
  <c r="BK30" i="17" s="1"/>
  <c r="BH28" i="17"/>
  <c r="BI28" i="17" s="1"/>
  <c r="BJ28" i="17" s="1"/>
  <c r="BK28" i="17" s="1"/>
  <c r="BH23" i="17"/>
  <c r="BI23" i="17" s="1"/>
  <c r="BJ23" i="17" s="1"/>
  <c r="BK23" i="17" s="1"/>
  <c r="BH19" i="17"/>
  <c r="O29" i="17"/>
  <c r="O27" i="17"/>
  <c r="O25" i="17"/>
  <c r="Z25" i="17" s="1"/>
  <c r="O26" i="17"/>
  <c r="O19" i="17"/>
  <c r="O28" i="17"/>
  <c r="O23" i="17"/>
  <c r="Z23" i="17" s="1"/>
  <c r="O30" i="17"/>
  <c r="O24" i="17"/>
  <c r="Z24" i="17" s="1"/>
  <c r="O20" i="17"/>
  <c r="O21" i="17"/>
  <c r="Z21" i="17" s="1"/>
  <c r="BD22" i="17"/>
  <c r="BD20" i="17"/>
  <c r="BC19" i="17"/>
  <c r="BB21" i="17"/>
  <c r="F63" i="17"/>
  <c r="F45" i="17"/>
  <c r="BC20" i="17"/>
  <c r="BB23" i="17"/>
  <c r="AI23" i="17"/>
  <c r="AA31" i="17"/>
  <c r="AZ30" i="17"/>
  <c r="I19" i="17"/>
  <c r="I23" i="17"/>
  <c r="Y23" i="17" s="1"/>
  <c r="I28" i="17"/>
  <c r="Y28" i="17" s="1"/>
  <c r="AC31" i="17"/>
  <c r="I22" i="17"/>
  <c r="Y22" i="17" s="1"/>
  <c r="I26" i="17"/>
  <c r="Y26" i="17" s="1"/>
  <c r="BB26" i="17"/>
  <c r="BC30" i="17"/>
  <c r="L30" i="17"/>
  <c r="L29" i="17"/>
  <c r="L26" i="17"/>
  <c r="L22" i="17"/>
  <c r="Z22" i="17" s="1"/>
  <c r="I29" i="17"/>
  <c r="Y29" i="17" s="1"/>
  <c r="AK65" i="17"/>
  <c r="AR19" i="17" s="1"/>
  <c r="AC56" i="17"/>
  <c r="AK44" i="17"/>
  <c r="I25" i="17"/>
  <c r="Y25" i="17" s="1"/>
  <c r="G168" i="17"/>
  <c r="G163" i="17"/>
  <c r="G115" i="17"/>
  <c r="G169" i="17"/>
  <c r="G165" i="17"/>
  <c r="G161" i="17"/>
  <c r="G166" i="17"/>
  <c r="G164" i="17"/>
  <c r="G170" i="17"/>
  <c r="G159" i="17"/>
  <c r="G162" i="17"/>
  <c r="G167" i="17"/>
  <c r="G119" i="17"/>
  <c r="G113" i="17"/>
  <c r="G108" i="17"/>
  <c r="AM105" i="17" s="1"/>
  <c r="AN105" i="17" s="1"/>
  <c r="AO105" i="17" s="1"/>
  <c r="G117" i="17"/>
  <c r="G114" i="17"/>
  <c r="G110" i="17"/>
  <c r="G112" i="17"/>
  <c r="G160" i="17"/>
  <c r="F160" i="17" s="1"/>
  <c r="G109" i="17"/>
  <c r="G118" i="17"/>
  <c r="G116" i="17"/>
  <c r="G111" i="17"/>
  <c r="I27" i="17"/>
  <c r="Y27" i="17" s="1"/>
  <c r="BB27" i="17"/>
  <c r="AG70" i="17"/>
  <c r="AG49" i="17"/>
  <c r="I24" i="17"/>
  <c r="Y24" i="17" s="1"/>
  <c r="L27" i="17"/>
  <c r="G30" i="17"/>
  <c r="AF67" i="12" s="1"/>
  <c r="AJ75" i="17"/>
  <c r="AQ29" i="17" s="1"/>
  <c r="AJ54" i="17"/>
  <c r="AJ69" i="17"/>
  <c r="AJ23" i="17" s="1"/>
  <c r="AJ48" i="17"/>
  <c r="I49" i="17"/>
  <c r="Y48" i="17" s="1"/>
  <c r="G87" i="17"/>
  <c r="G92" i="17"/>
  <c r="G94" i="17"/>
  <c r="G96" i="17"/>
  <c r="G95" i="17"/>
  <c r="G91" i="17"/>
  <c r="G86" i="17"/>
  <c r="F86" i="17" s="1"/>
  <c r="G85" i="17"/>
  <c r="G93" i="17"/>
  <c r="G90" i="17"/>
  <c r="G88" i="17"/>
  <c r="G89" i="17"/>
  <c r="G143" i="17"/>
  <c r="G139" i="17"/>
  <c r="G144" i="17"/>
  <c r="G142" i="17"/>
  <c r="G134" i="17"/>
  <c r="AJ130" i="17" s="1"/>
  <c r="G145" i="17"/>
  <c r="G137" i="17"/>
  <c r="G140" i="17"/>
  <c r="G135" i="17"/>
  <c r="G138" i="17"/>
  <c r="G141" i="17"/>
  <c r="G136" i="17"/>
  <c r="AI70" i="17"/>
  <c r="AI49" i="17"/>
  <c r="I56" i="17"/>
  <c r="Y55" i="17" s="1"/>
  <c r="I55" i="17"/>
  <c r="Y54" i="17" s="1"/>
  <c r="I54" i="17"/>
  <c r="Y53" i="17" s="1"/>
  <c r="I53" i="17"/>
  <c r="Y52" i="17" s="1"/>
  <c r="I51" i="17"/>
  <c r="Y50" i="17" s="1"/>
  <c r="I48" i="17"/>
  <c r="Y47" i="17" s="1"/>
  <c r="I52" i="17"/>
  <c r="Y51" i="17" s="1"/>
  <c r="I47" i="17"/>
  <c r="Y46" i="17" s="1"/>
  <c r="I46" i="17"/>
  <c r="Y45" i="17" s="1"/>
  <c r="I45" i="17"/>
  <c r="AJ65" i="17"/>
  <c r="AQ19" i="17" s="1"/>
  <c r="AB56" i="17"/>
  <c r="AI71" i="17"/>
  <c r="AI25" i="17" s="1"/>
  <c r="AI50" i="17"/>
  <c r="AJ74" i="17"/>
  <c r="AJ53" i="17"/>
  <c r="AK74" i="17"/>
  <c r="AK53" i="17"/>
  <c r="AI72" i="17"/>
  <c r="AP26" i="17" s="1"/>
  <c r="AI51" i="17"/>
  <c r="AI73" i="17"/>
  <c r="AP27" i="17" s="1"/>
  <c r="AI52" i="17"/>
  <c r="AK46" i="17"/>
  <c r="AK69" i="17"/>
  <c r="AK23" i="17" s="1"/>
  <c r="AK48" i="17"/>
  <c r="AJ72" i="17"/>
  <c r="AJ51" i="17"/>
  <c r="O52" i="17"/>
  <c r="O56" i="17"/>
  <c r="O55" i="17"/>
  <c r="O46" i="17"/>
  <c r="O50" i="17"/>
  <c r="AI66" i="17"/>
  <c r="AI45" i="17"/>
  <c r="AK68" i="17"/>
  <c r="AK22" i="17" s="1"/>
  <c r="AK47" i="17"/>
  <c r="AJ52" i="17"/>
  <c r="AA56" i="17"/>
  <c r="AC87" i="17"/>
  <c r="BL83" i="17"/>
  <c r="AA87" i="17"/>
  <c r="BB84" i="17"/>
  <c r="AD87" i="17"/>
  <c r="AE87" i="17" s="1"/>
  <c r="AG87" i="17" s="1"/>
  <c r="BC84" i="17"/>
  <c r="BM83" i="17"/>
  <c r="L55" i="17"/>
  <c r="L52" i="17"/>
  <c r="L56" i="17"/>
  <c r="L47" i="17"/>
  <c r="Z46" i="17" s="1"/>
  <c r="O75" i="17"/>
  <c r="AI55" i="17"/>
  <c r="AJ55" i="17"/>
  <c r="AK54" i="17"/>
  <c r="I85" i="17"/>
  <c r="I86" i="17"/>
  <c r="Y83" i="17" s="1"/>
  <c r="O120" i="17"/>
  <c r="I91" i="17"/>
  <c r="Y88" i="17" s="1"/>
  <c r="I94" i="17"/>
  <c r="Y91" i="17" s="1"/>
  <c r="Z116" i="17"/>
  <c r="AG104" i="17"/>
  <c r="Z115" i="17"/>
  <c r="Z109" i="17"/>
  <c r="Z111" i="17"/>
  <c r="Z106" i="17"/>
  <c r="Z113" i="17"/>
  <c r="Z108" i="17"/>
  <c r="Z114" i="17"/>
  <c r="Z110" i="17"/>
  <c r="Z107" i="17"/>
  <c r="Z105" i="17"/>
  <c r="AA114" i="17"/>
  <c r="AH114" i="17" s="1"/>
  <c r="Z112" i="17"/>
  <c r="AD83" i="17"/>
  <c r="AE83" i="17" s="1"/>
  <c r="AG83" i="17" s="1"/>
  <c r="I92" i="17"/>
  <c r="Y89" i="17" s="1"/>
  <c r="I89" i="17"/>
  <c r="Y86" i="17" s="1"/>
  <c r="I96" i="17"/>
  <c r="Y93" i="17" s="1"/>
  <c r="I95" i="17"/>
  <c r="Y92" i="17" s="1"/>
  <c r="I88" i="17"/>
  <c r="Y85" i="17" s="1"/>
  <c r="I87" i="17"/>
  <c r="Y84" i="17" s="1"/>
  <c r="I93" i="17"/>
  <c r="Y90" i="17" s="1"/>
  <c r="AF154" i="17"/>
  <c r="AG102" i="17"/>
  <c r="Y107" i="17"/>
  <c r="Y110" i="17"/>
  <c r="Y114" i="17"/>
  <c r="AG142" i="17"/>
  <c r="I146" i="17"/>
  <c r="AH102" i="17"/>
  <c r="Y108" i="17"/>
  <c r="Y113" i="17"/>
  <c r="AP141" i="17"/>
  <c r="Z141" i="17" s="1"/>
  <c r="AP133" i="17"/>
  <c r="Z133" i="17" s="1"/>
  <c r="AP136" i="17"/>
  <c r="Z136" i="17" s="1"/>
  <c r="AP139" i="17"/>
  <c r="Z139" i="17" s="1"/>
  <c r="AP130" i="17"/>
  <c r="Z130" i="17" s="1"/>
  <c r="AP134" i="17"/>
  <c r="Z134" i="17" s="1"/>
  <c r="AP137" i="17"/>
  <c r="Z137" i="17" s="1"/>
  <c r="AP131" i="17"/>
  <c r="Z131" i="17" s="1"/>
  <c r="AP140" i="17"/>
  <c r="Z140" i="17" s="1"/>
  <c r="AP135" i="17"/>
  <c r="Z135" i="17" s="1"/>
  <c r="AP132" i="17"/>
  <c r="Z132" i="17" s="1"/>
  <c r="Y106" i="17"/>
  <c r="Y142" i="17"/>
  <c r="O146" i="17"/>
  <c r="AP138" i="17"/>
  <c r="Z138" i="17" s="1"/>
  <c r="Y111" i="17"/>
  <c r="Y116" i="17"/>
  <c r="R146" i="17"/>
  <c r="O171" i="17"/>
  <c r="Y109" i="17"/>
  <c r="AF142" i="17"/>
  <c r="U146" i="17"/>
  <c r="AF104" i="17"/>
  <c r="AT137" i="17"/>
  <c r="AD137" i="17" s="1"/>
  <c r="AT131" i="17"/>
  <c r="AD131" i="17" s="1"/>
  <c r="AT140" i="17"/>
  <c r="AD140" i="17" s="1"/>
  <c r="AT135" i="17"/>
  <c r="AD135" i="17" s="1"/>
  <c r="AT132" i="17"/>
  <c r="AD132" i="17" s="1"/>
  <c r="AT138" i="17"/>
  <c r="AD138" i="17" s="1"/>
  <c r="AT141" i="17"/>
  <c r="AD141" i="17" s="1"/>
  <c r="AT133" i="17"/>
  <c r="AD133" i="17" s="1"/>
  <c r="AT136" i="17"/>
  <c r="AD136" i="17" s="1"/>
  <c r="AT139" i="17"/>
  <c r="AD139" i="17" s="1"/>
  <c r="AT130" i="17"/>
  <c r="AD130" i="17" s="1"/>
  <c r="AH142" i="17"/>
  <c r="CK11" i="17" s="1"/>
  <c r="G54" i="12" s="1"/>
  <c r="AE151" i="17"/>
  <c r="AD151" i="17"/>
  <c r="AJ147" i="17"/>
  <c r="AJ151" i="17" s="1"/>
  <c r="Y105" i="17"/>
  <c r="Y112" i="17"/>
  <c r="AU134" i="17"/>
  <c r="AQ138" i="17"/>
  <c r="AA138" i="17" s="1"/>
  <c r="AQ135" i="17"/>
  <c r="AA135" i="17" s="1"/>
  <c r="AU139" i="17"/>
  <c r="AU136" i="17"/>
  <c r="AQ140" i="17"/>
  <c r="AA140" i="17" s="1"/>
  <c r="Z151" i="17"/>
  <c r="AQ137" i="17"/>
  <c r="AA137" i="17" s="1"/>
  <c r="AU141" i="17"/>
  <c r="AQ134" i="17"/>
  <c r="AA134" i="17" s="1"/>
  <c r="AU138" i="17"/>
  <c r="AL147" i="17"/>
  <c r="AU135" i="17"/>
  <c r="AQ139" i="17"/>
  <c r="AA139" i="17" s="1"/>
  <c r="G20" i="14"/>
  <c r="G21" i="14" s="1"/>
  <c r="G19" i="14" s="1"/>
  <c r="H20" i="14"/>
  <c r="H21" i="14" s="1"/>
  <c r="H19" i="14" s="1"/>
  <c r="I20" i="14"/>
  <c r="I21" i="14" s="1"/>
  <c r="I19" i="14" s="1"/>
  <c r="J20" i="14"/>
  <c r="J21" i="14" s="1"/>
  <c r="J19" i="14" s="1"/>
  <c r="K20" i="14"/>
  <c r="K21" i="14" s="1"/>
  <c r="K19" i="14" s="1"/>
  <c r="L20" i="14"/>
  <c r="L21" i="14" s="1"/>
  <c r="L19" i="14" s="1"/>
  <c r="E20" i="14"/>
  <c r="E21" i="14" s="1"/>
  <c r="E19" i="14" s="1"/>
  <c r="D20" i="14"/>
  <c r="AF158" i="17" l="1"/>
  <c r="AL151" i="17"/>
  <c r="Z82" i="17"/>
  <c r="BM78" i="17" s="1"/>
  <c r="AH68" i="17"/>
  <c r="AF155" i="17"/>
  <c r="AF160" i="17"/>
  <c r="AF162" i="17"/>
  <c r="BD146" i="17"/>
  <c r="BD147" i="17" s="1"/>
  <c r="AF159" i="17"/>
  <c r="AF161" i="17"/>
  <c r="AF157" i="17"/>
  <c r="AF152" i="17"/>
  <c r="AF163" i="17"/>
  <c r="AF156" i="17"/>
  <c r="AE142" i="17"/>
  <c r="BK55" i="17" s="1"/>
  <c r="AC142" i="17"/>
  <c r="AJ25" i="17"/>
  <c r="Z48" i="17"/>
  <c r="AH48" i="17" s="1"/>
  <c r="Z86" i="17"/>
  <c r="AD86" i="17" s="1"/>
  <c r="AE86" i="17" s="1"/>
  <c r="AG86" i="17" s="1"/>
  <c r="Z85" i="17"/>
  <c r="AD85" i="17" s="1"/>
  <c r="AE85" i="17" s="1"/>
  <c r="AG85" i="17" s="1"/>
  <c r="Z89" i="17"/>
  <c r="AD89" i="17" s="1"/>
  <c r="AE89" i="17" s="1"/>
  <c r="AG89" i="17" s="1"/>
  <c r="O97" i="17"/>
  <c r="Z93" i="17"/>
  <c r="BM89" i="17" s="1"/>
  <c r="Z52" i="17"/>
  <c r="AH52" i="17" s="1"/>
  <c r="Z20" i="17"/>
  <c r="AK27" i="17"/>
  <c r="AD92" i="17"/>
  <c r="AE92" i="17" s="1"/>
  <c r="AG92" i="17" s="1"/>
  <c r="BC89" i="17"/>
  <c r="BM88" i="17"/>
  <c r="BM84" i="17"/>
  <c r="BC85" i="17"/>
  <c r="AD88" i="17"/>
  <c r="AE88" i="17" s="1"/>
  <c r="AG88" i="17" s="1"/>
  <c r="Z84" i="17"/>
  <c r="L97" i="17"/>
  <c r="Z28" i="17"/>
  <c r="BA28" i="17" s="1"/>
  <c r="BC79" i="17"/>
  <c r="AP29" i="17"/>
  <c r="BC87" i="17"/>
  <c r="AR26" i="17"/>
  <c r="AR29" i="17"/>
  <c r="BM86" i="17"/>
  <c r="BC88" i="17"/>
  <c r="AD91" i="17"/>
  <c r="AE91" i="17" s="1"/>
  <c r="AG91" i="17" s="1"/>
  <c r="AA108" i="17"/>
  <c r="AH108" i="17" s="1"/>
  <c r="BN112" i="17" s="1"/>
  <c r="BN104" i="17"/>
  <c r="BN105" i="17" s="1"/>
  <c r="AA113" i="17"/>
  <c r="AH113" i="17" s="1"/>
  <c r="BD117" i="17" s="1"/>
  <c r="AA106" i="17"/>
  <c r="AH106" i="17" s="1"/>
  <c r="BD110" i="17" s="1"/>
  <c r="AA105" i="17"/>
  <c r="AH105" i="17" s="1"/>
  <c r="AA112" i="17"/>
  <c r="AH112" i="17" s="1"/>
  <c r="BN116" i="17" s="1"/>
  <c r="AA111" i="17"/>
  <c r="AH111" i="17" s="1"/>
  <c r="BD115" i="17" s="1"/>
  <c r="AA116" i="17"/>
  <c r="AH116" i="17" s="1"/>
  <c r="BN120" i="17" s="1"/>
  <c r="AA107" i="17"/>
  <c r="AH107" i="17" s="1"/>
  <c r="BN111" i="17" s="1"/>
  <c r="AA109" i="17"/>
  <c r="AH109" i="17" s="1"/>
  <c r="BD113" i="17" s="1"/>
  <c r="AA110" i="17"/>
  <c r="AH110" i="17" s="1"/>
  <c r="BN114" i="17" s="1"/>
  <c r="AA115" i="17"/>
  <c r="AH115" i="17" s="1"/>
  <c r="BN119" i="17" s="1"/>
  <c r="AD69" i="17"/>
  <c r="AK24" i="17"/>
  <c r="AI21" i="17"/>
  <c r="AH71" i="17"/>
  <c r="AH25" i="17" s="1"/>
  <c r="AQ21" i="17"/>
  <c r="AR25" i="17"/>
  <c r="AR21" i="17"/>
  <c r="AQ20" i="17"/>
  <c r="AR20" i="17"/>
  <c r="Z77" i="17"/>
  <c r="Z78" i="17" s="1"/>
  <c r="AJ22" i="17"/>
  <c r="Z49" i="17"/>
  <c r="AH49" i="17" s="1"/>
  <c r="AL49" i="17" s="1"/>
  <c r="AQ30" i="17"/>
  <c r="AI28" i="17"/>
  <c r="AI30" i="17"/>
  <c r="AP19" i="17"/>
  <c r="Z30" i="17"/>
  <c r="AD30" i="17" s="1"/>
  <c r="Z27" i="17"/>
  <c r="BA27" i="17" s="1"/>
  <c r="G50" i="17"/>
  <c r="G47" i="17"/>
  <c r="BL20" i="17"/>
  <c r="BM20" i="17" s="1"/>
  <c r="G46" i="17"/>
  <c r="G52" i="17"/>
  <c r="G64" i="17"/>
  <c r="BL22" i="17"/>
  <c r="BZ22" i="17" s="1"/>
  <c r="F20" i="17"/>
  <c r="F21" i="17" s="1"/>
  <c r="G65" i="17"/>
  <c r="G73" i="17"/>
  <c r="G51" i="17"/>
  <c r="G69" i="17"/>
  <c r="G55" i="17"/>
  <c r="AF66" i="12"/>
  <c r="AF65" i="12"/>
  <c r="G68" i="17"/>
  <c r="G54" i="17"/>
  <c r="G72" i="17"/>
  <c r="BL24" i="17"/>
  <c r="BZ24" i="17" s="1"/>
  <c r="G70" i="17"/>
  <c r="G48" i="17"/>
  <c r="G66" i="17"/>
  <c r="G49" i="17"/>
  <c r="BL26" i="17"/>
  <c r="BZ26" i="17" s="1"/>
  <c r="G67" i="17"/>
  <c r="G53" i="17"/>
  <c r="G71" i="17"/>
  <c r="AF58" i="12"/>
  <c r="AF56" i="12"/>
  <c r="AF62" i="12"/>
  <c r="Y164" i="17"/>
  <c r="G45" i="17"/>
  <c r="G63" i="17"/>
  <c r="AF60" i="12"/>
  <c r="AA162" i="17"/>
  <c r="AA158" i="17"/>
  <c r="AA161" i="17"/>
  <c r="AA155" i="17"/>
  <c r="AA153" i="17"/>
  <c r="AA156" i="17"/>
  <c r="AA163" i="17"/>
  <c r="AA159" i="17"/>
  <c r="AA157" i="17"/>
  <c r="AA160" i="17"/>
  <c r="AA152" i="17"/>
  <c r="AA154" i="17"/>
  <c r="CQ19" i="17"/>
  <c r="AD73" i="17"/>
  <c r="Z161" i="17"/>
  <c r="Z156" i="17"/>
  <c r="Z154" i="17"/>
  <c r="Z162" i="17"/>
  <c r="Z158" i="17"/>
  <c r="Z155" i="17"/>
  <c r="AB155" i="17" s="1"/>
  <c r="Z153" i="17"/>
  <c r="Z163" i="17"/>
  <c r="Z159" i="17"/>
  <c r="Z157" i="17"/>
  <c r="Z160" i="17"/>
  <c r="Z152" i="17"/>
  <c r="BL27" i="17"/>
  <c r="BZ27" i="17" s="1"/>
  <c r="AJ24" i="17"/>
  <c r="BO8" i="17"/>
  <c r="BO9" i="17" s="1"/>
  <c r="BO10" i="17" s="1"/>
  <c r="AF87" i="17"/>
  <c r="AI61" i="12" s="1"/>
  <c r="AP22" i="17"/>
  <c r="AH74" i="17"/>
  <c r="Z54" i="17"/>
  <c r="AH54" i="17" s="1"/>
  <c r="AI56" i="17"/>
  <c r="AP57" i="17" s="1"/>
  <c r="O57" i="17"/>
  <c r="AR30" i="17"/>
  <c r="Z55" i="17"/>
  <c r="AH55" i="17" s="1"/>
  <c r="BB31" i="17"/>
  <c r="BD31" i="17"/>
  <c r="Z29" i="17"/>
  <c r="AD29" i="17" s="1"/>
  <c r="AA142" i="17"/>
  <c r="AD142" i="17"/>
  <c r="AB114" i="17"/>
  <c r="AJ56" i="17"/>
  <c r="AQ57" i="17" s="1"/>
  <c r="AD65" i="17"/>
  <c r="F161" i="17"/>
  <c r="F162" i="17" s="1"/>
  <c r="F163" i="17" s="1"/>
  <c r="F164" i="17" s="1"/>
  <c r="F165" i="17" s="1"/>
  <c r="F166" i="17" s="1"/>
  <c r="F167" i="17" s="1"/>
  <c r="F168" i="17" s="1"/>
  <c r="F169" i="17" s="1"/>
  <c r="F170" i="17" s="1"/>
  <c r="BM25" i="17"/>
  <c r="BQ25" i="17" s="1"/>
  <c r="F87" i="17"/>
  <c r="F88" i="17" s="1"/>
  <c r="F89" i="17" s="1"/>
  <c r="F90" i="17" s="1"/>
  <c r="F91" i="17" s="1"/>
  <c r="F92" i="17" s="1"/>
  <c r="F93" i="17" s="1"/>
  <c r="F94" i="17" s="1"/>
  <c r="F95" i="17" s="1"/>
  <c r="F96" i="17" s="1"/>
  <c r="AH70" i="17"/>
  <c r="AH24" i="17" s="1"/>
  <c r="BA21" i="17"/>
  <c r="BE21" i="17" s="1"/>
  <c r="AD21" i="17"/>
  <c r="BN118" i="17"/>
  <c r="BD118" i="17"/>
  <c r="AD163" i="17"/>
  <c r="AD158" i="17"/>
  <c r="AD157" i="17"/>
  <c r="AD156" i="17"/>
  <c r="AD155" i="17"/>
  <c r="AD161" i="17"/>
  <c r="AD154" i="17"/>
  <c r="AD153" i="17"/>
  <c r="AD152" i="17"/>
  <c r="AJ152" i="17" s="1"/>
  <c r="AD159" i="17"/>
  <c r="BB146" i="17"/>
  <c r="AD162" i="17"/>
  <c r="AD160" i="17"/>
  <c r="AE158" i="17"/>
  <c r="AE157" i="17"/>
  <c r="AE156" i="17"/>
  <c r="AE155" i="17"/>
  <c r="AE161" i="17"/>
  <c r="AE154" i="17"/>
  <c r="AE153" i="17"/>
  <c r="AE152" i="17"/>
  <c r="AE159" i="17"/>
  <c r="BC146" i="17"/>
  <c r="AE162" i="17"/>
  <c r="AE160" i="17"/>
  <c r="AE163" i="17"/>
  <c r="AA92" i="17"/>
  <c r="BL88" i="17"/>
  <c r="AC92" i="17"/>
  <c r="BB89" i="17"/>
  <c r="AG73" i="17"/>
  <c r="AL73" i="17" s="1"/>
  <c r="AG52" i="17"/>
  <c r="AJ132" i="17"/>
  <c r="AJ138" i="17"/>
  <c r="AG24" i="17"/>
  <c r="AD24" i="17"/>
  <c r="AZ24" i="17"/>
  <c r="AP25" i="17"/>
  <c r="AM109" i="17"/>
  <c r="AN109" i="17" s="1"/>
  <c r="AO109" i="17" s="1"/>
  <c r="AM112" i="17"/>
  <c r="AN112" i="17" s="1"/>
  <c r="AO112" i="17" s="1"/>
  <c r="AK56" i="17"/>
  <c r="Z142" i="17"/>
  <c r="BB90" i="17"/>
  <c r="AC93" i="17"/>
  <c r="BL89" i="17"/>
  <c r="Z45" i="17"/>
  <c r="AD45" i="17" s="1"/>
  <c r="AG74" i="17"/>
  <c r="AG28" i="17" s="1"/>
  <c r="AG53" i="17"/>
  <c r="AL53" i="17" s="1"/>
  <c r="AD53" i="17"/>
  <c r="AJ137" i="17"/>
  <c r="AJ140" i="17"/>
  <c r="L57" i="17"/>
  <c r="AM107" i="17"/>
  <c r="AN107" i="17" s="1"/>
  <c r="AO107" i="17" s="1"/>
  <c r="BA22" i="17"/>
  <c r="AH22" i="17"/>
  <c r="AP32" i="17"/>
  <c r="CL14" i="17"/>
  <c r="CD14" i="17"/>
  <c r="AI26" i="17"/>
  <c r="BC31" i="17"/>
  <c r="AQ32" i="17"/>
  <c r="CM14" i="17"/>
  <c r="CE14" i="17"/>
  <c r="BB88" i="17"/>
  <c r="BL87" i="17"/>
  <c r="BN87" i="17" s="1"/>
  <c r="AC91" i="17"/>
  <c r="AA91" i="17"/>
  <c r="AH67" i="17"/>
  <c r="AH21" i="17" s="1"/>
  <c r="AH46" i="17"/>
  <c r="I57" i="17"/>
  <c r="Y57" i="17" s="1"/>
  <c r="Y44" i="17"/>
  <c r="AG75" i="17"/>
  <c r="AG29" i="17" s="1"/>
  <c r="AG54" i="17"/>
  <c r="AJ134" i="17"/>
  <c r="AJ135" i="17"/>
  <c r="AM111" i="17"/>
  <c r="AN111" i="17" s="1"/>
  <c r="AO111" i="17" s="1"/>
  <c r="AK77" i="17"/>
  <c r="AK78" i="17" s="1"/>
  <c r="AK32" i="17" s="1"/>
  <c r="AK19" i="17"/>
  <c r="AI27" i="17"/>
  <c r="AZ23" i="17"/>
  <c r="AD23" i="17"/>
  <c r="BA23" i="17"/>
  <c r="AH23" i="17"/>
  <c r="BA20" i="17"/>
  <c r="BE20" i="17" s="1"/>
  <c r="AK151" i="17"/>
  <c r="AA89" i="17"/>
  <c r="AC89" i="17"/>
  <c r="BL85" i="17"/>
  <c r="BB86" i="17"/>
  <c r="Z117" i="17"/>
  <c r="Z118" i="17" s="1"/>
  <c r="AA88" i="17"/>
  <c r="BL84" i="17"/>
  <c r="BB85" i="17"/>
  <c r="AC88" i="17"/>
  <c r="BD106" i="17"/>
  <c r="BD105" i="17"/>
  <c r="BD108" i="17"/>
  <c r="AH76" i="17"/>
  <c r="AP20" i="17"/>
  <c r="AI20" i="17"/>
  <c r="AJ26" i="17"/>
  <c r="AQ26" i="17"/>
  <c r="AG66" i="17"/>
  <c r="AG45" i="17"/>
  <c r="AG55" i="17"/>
  <c r="AG76" i="17"/>
  <c r="AJ131" i="17"/>
  <c r="F135" i="17"/>
  <c r="F136" i="17" s="1"/>
  <c r="F137" i="17" s="1"/>
  <c r="F138" i="17" s="1"/>
  <c r="F139" i="17" s="1"/>
  <c r="F140" i="17" s="1"/>
  <c r="F141" i="17" s="1"/>
  <c r="F142" i="17" s="1"/>
  <c r="F143" i="17" s="1"/>
  <c r="F144" i="17" s="1"/>
  <c r="F145" i="17" s="1"/>
  <c r="AJ139" i="17"/>
  <c r="G74" i="17"/>
  <c r="G56" i="17"/>
  <c r="BL30" i="17"/>
  <c r="AM108" i="17"/>
  <c r="AN108" i="17" s="1"/>
  <c r="AO108" i="17" s="1"/>
  <c r="AM114" i="17"/>
  <c r="AN114" i="17" s="1"/>
  <c r="AO114" i="17" s="1"/>
  <c r="AZ26" i="17"/>
  <c r="I31" i="17"/>
  <c r="Y32" i="17" s="1"/>
  <c r="Y19" i="17"/>
  <c r="BM23" i="17"/>
  <c r="BI19" i="17"/>
  <c r="BJ19" i="17" s="1"/>
  <c r="AC86" i="17"/>
  <c r="BB83" i="17"/>
  <c r="BL82" i="17"/>
  <c r="Y117" i="17"/>
  <c r="AA83" i="17"/>
  <c r="AC83" i="17"/>
  <c r="AF83" i="17" s="1"/>
  <c r="AI57" i="12" s="1"/>
  <c r="BB80" i="17"/>
  <c r="BD80" i="17" s="1"/>
  <c r="BL79" i="17"/>
  <c r="BN79" i="17" s="1"/>
  <c r="Z51" i="17"/>
  <c r="AD51" i="17" s="1"/>
  <c r="BD84" i="17"/>
  <c r="AJ77" i="17"/>
  <c r="AJ78" i="17" s="1"/>
  <c r="AJ32" i="17" s="1"/>
  <c r="AJ19" i="17"/>
  <c r="AG67" i="17"/>
  <c r="AD46" i="17"/>
  <c r="AG46" i="17"/>
  <c r="AJ136" i="17"/>
  <c r="AJ29" i="17"/>
  <c r="AM113" i="17"/>
  <c r="AN113" i="17" s="1"/>
  <c r="AO113" i="17" s="1"/>
  <c r="AZ29" i="17"/>
  <c r="Z26" i="17"/>
  <c r="AD26" i="17" s="1"/>
  <c r="AR23" i="17"/>
  <c r="AQ23" i="17"/>
  <c r="BM28" i="17"/>
  <c r="BA25" i="17"/>
  <c r="AR22" i="17"/>
  <c r="AL152" i="17"/>
  <c r="BD151" i="17"/>
  <c r="AC90" i="17"/>
  <c r="AF90" i="17" s="1"/>
  <c r="AI64" i="12" s="1"/>
  <c r="AA90" i="17"/>
  <c r="BB87" i="17"/>
  <c r="BL86" i="17"/>
  <c r="I97" i="17"/>
  <c r="Y82" i="17"/>
  <c r="AH75" i="17"/>
  <c r="AK28" i="17"/>
  <c r="AR28" i="17"/>
  <c r="AG72" i="17"/>
  <c r="AG51" i="17"/>
  <c r="AJ133" i="17"/>
  <c r="AM115" i="17"/>
  <c r="AN115" i="17" s="1"/>
  <c r="AO115" i="17" s="1"/>
  <c r="AM110" i="17"/>
  <c r="AN110" i="17" s="1"/>
  <c r="AO110" i="17" s="1"/>
  <c r="BA24" i="17"/>
  <c r="BM21" i="17"/>
  <c r="BB151" i="17"/>
  <c r="BL104" i="17"/>
  <c r="BL108" i="17" s="1"/>
  <c r="AF105" i="17"/>
  <c r="BB104" i="17"/>
  <c r="BL80" i="17"/>
  <c r="AC84" i="17"/>
  <c r="AA84" i="17"/>
  <c r="BB81" i="17"/>
  <c r="AG110" i="17"/>
  <c r="AG107" i="17"/>
  <c r="AG114" i="17"/>
  <c r="AG112" i="17"/>
  <c r="AG105" i="17"/>
  <c r="BC104" i="17"/>
  <c r="AG115" i="17"/>
  <c r="AG109" i="17"/>
  <c r="AG111" i="17"/>
  <c r="AG106" i="17"/>
  <c r="AG113" i="17"/>
  <c r="AG108" i="17"/>
  <c r="AG116" i="17"/>
  <c r="BM104" i="17"/>
  <c r="BN83" i="17"/>
  <c r="AG68" i="17"/>
  <c r="AL68" i="17" s="1"/>
  <c r="AG47" i="17"/>
  <c r="AL47" i="17" s="1"/>
  <c r="AD47" i="17"/>
  <c r="AJ141" i="17"/>
  <c r="AG69" i="17"/>
  <c r="AL69" i="17" s="1"/>
  <c r="AG48" i="17"/>
  <c r="AM106" i="17"/>
  <c r="AN106" i="17" s="1"/>
  <c r="AO106" i="17" s="1"/>
  <c r="F109" i="17"/>
  <c r="F110" i="17" s="1"/>
  <c r="F111" i="17" s="1"/>
  <c r="F112" i="17" s="1"/>
  <c r="F113" i="17" s="1"/>
  <c r="F114" i="17" s="1"/>
  <c r="F115" i="17" s="1"/>
  <c r="F116" i="17" s="1"/>
  <c r="F117" i="17" s="1"/>
  <c r="F118" i="17" s="1"/>
  <c r="F119" i="17" s="1"/>
  <c r="AM116" i="17"/>
  <c r="AN116" i="17" s="1"/>
  <c r="AO116" i="17" s="1"/>
  <c r="BA30" i="17"/>
  <c r="BE30" i="17" s="1"/>
  <c r="AD22" i="17"/>
  <c r="AZ22" i="17"/>
  <c r="AZ28" i="17"/>
  <c r="O31" i="17"/>
  <c r="Z19" i="17"/>
  <c r="BD148" i="17"/>
  <c r="BB82" i="17"/>
  <c r="AC85" i="17"/>
  <c r="BL81" i="17"/>
  <c r="AI77" i="17"/>
  <c r="AI78" i="17" s="1"/>
  <c r="AI32" i="17" s="1"/>
  <c r="AQ28" i="17"/>
  <c r="AJ28" i="17"/>
  <c r="AG71" i="17"/>
  <c r="AG50" i="17"/>
  <c r="AL50" i="17" s="1"/>
  <c r="AD50" i="17"/>
  <c r="AP24" i="17"/>
  <c r="AI24" i="17"/>
  <c r="AZ27" i="17"/>
  <c r="AZ25" i="17"/>
  <c r="AD25" i="17"/>
  <c r="AR32" i="17"/>
  <c r="CF14" i="17"/>
  <c r="CN14" i="17"/>
  <c r="AD20" i="17"/>
  <c r="L31" i="17"/>
  <c r="BM19" i="17"/>
  <c r="P60" i="1"/>
  <c r="M60" i="1"/>
  <c r="AJ162" i="17" l="1"/>
  <c r="AJ157" i="17"/>
  <c r="AJ158" i="17"/>
  <c r="AB105" i="17"/>
  <c r="AD82" i="17"/>
  <c r="AE82" i="17" s="1"/>
  <c r="AB110" i="17"/>
  <c r="BN106" i="17"/>
  <c r="BD87" i="17"/>
  <c r="BN108" i="17"/>
  <c r="BN126" i="17" s="1"/>
  <c r="AL52" i="17"/>
  <c r="AD52" i="17"/>
  <c r="AA86" i="17"/>
  <c r="AF164" i="17"/>
  <c r="AB153" i="17"/>
  <c r="AL48" i="17"/>
  <c r="AD48" i="17"/>
  <c r="AA85" i="17"/>
  <c r="AB108" i="17"/>
  <c r="AJ155" i="17"/>
  <c r="BB155" i="17" s="1"/>
  <c r="BB55" i="17"/>
  <c r="AF86" i="17"/>
  <c r="AI60" i="12" s="1"/>
  <c r="BD111" i="17"/>
  <c r="BN110" i="17"/>
  <c r="BC83" i="17"/>
  <c r="BD83" i="17" s="1"/>
  <c r="AF88" i="17"/>
  <c r="AI62" i="12" s="1"/>
  <c r="BM85" i="17"/>
  <c r="BN85" i="17" s="1"/>
  <c r="BC86" i="17"/>
  <c r="BD86" i="17" s="1"/>
  <c r="BM82" i="17"/>
  <c r="BN82" i="17" s="1"/>
  <c r="BD114" i="17"/>
  <c r="AF91" i="17"/>
  <c r="AI65" i="12" s="1"/>
  <c r="BC82" i="17"/>
  <c r="BD82" i="17" s="1"/>
  <c r="AF92" i="17"/>
  <c r="AI66" i="12" s="1"/>
  <c r="AF89" i="17"/>
  <c r="AI63" i="12" s="1"/>
  <c r="BN88" i="17"/>
  <c r="BM81" i="17"/>
  <c r="BN81" i="17" s="1"/>
  <c r="AF85" i="17"/>
  <c r="AI59" i="12" s="1"/>
  <c r="AA93" i="17"/>
  <c r="BC90" i="17"/>
  <c r="BD90" i="17" s="1"/>
  <c r="BD89" i="17"/>
  <c r="Z94" i="17"/>
  <c r="Z95" i="17" s="1"/>
  <c r="AD93" i="17"/>
  <c r="AE93" i="17" s="1"/>
  <c r="AG93" i="17" s="1"/>
  <c r="BN89" i="17"/>
  <c r="AD28" i="17"/>
  <c r="AH27" i="17"/>
  <c r="AH28" i="17"/>
  <c r="AL28" i="17" s="1"/>
  <c r="AH30" i="17"/>
  <c r="BD112" i="17"/>
  <c r="BN84" i="17"/>
  <c r="BD85" i="17"/>
  <c r="BC81" i="17"/>
  <c r="BD81" i="17" s="1"/>
  <c r="BM80" i="17"/>
  <c r="AD84" i="17"/>
  <c r="AJ154" i="17"/>
  <c r="BB154" i="17" s="1"/>
  <c r="BN115" i="17"/>
  <c r="AB107" i="17"/>
  <c r="BN86" i="17"/>
  <c r="AL71" i="17"/>
  <c r="AD49" i="17"/>
  <c r="BA29" i="17"/>
  <c r="BE29" i="17" s="1"/>
  <c r="AH29" i="17"/>
  <c r="AL29" i="17" s="1"/>
  <c r="BN117" i="17"/>
  <c r="AB113" i="17"/>
  <c r="AB111" i="17"/>
  <c r="AB154" i="17"/>
  <c r="AB156" i="17"/>
  <c r="AB161" i="17"/>
  <c r="AJ161" i="17"/>
  <c r="BB161" i="17" s="1"/>
  <c r="AB160" i="17"/>
  <c r="BD119" i="17"/>
  <c r="AB115" i="17"/>
  <c r="AB106" i="17"/>
  <c r="BD88" i="17"/>
  <c r="BM43" i="17"/>
  <c r="BE28" i="17"/>
  <c r="AD27" i="17"/>
  <c r="BE22" i="17"/>
  <c r="BD120" i="17"/>
  <c r="AJ156" i="17"/>
  <c r="BB156" i="17" s="1"/>
  <c r="AJ159" i="17"/>
  <c r="BB159" i="17" s="1"/>
  <c r="AJ163" i="17"/>
  <c r="BB163" i="17" s="1"/>
  <c r="AJ153" i="17"/>
  <c r="BB153" i="17" s="1"/>
  <c r="AJ160" i="17"/>
  <c r="BB160" i="17" s="1"/>
  <c r="AB116" i="17"/>
  <c r="AB109" i="17"/>
  <c r="AB112" i="17"/>
  <c r="AA117" i="17"/>
  <c r="AA118" i="17" s="1"/>
  <c r="BN113" i="17"/>
  <c r="BD116" i="17"/>
  <c r="AI105" i="17"/>
  <c r="AJ105" i="17" s="1"/>
  <c r="AJ56" i="12" s="1"/>
  <c r="AK105" i="17"/>
  <c r="AB158" i="17"/>
  <c r="AD77" i="17"/>
  <c r="AD54" i="17"/>
  <c r="BD43" i="17"/>
  <c r="AI57" i="17"/>
  <c r="BM42" i="17" s="1"/>
  <c r="AG27" i="17"/>
  <c r="AD55" i="17"/>
  <c r="AL70" i="17"/>
  <c r="BZ20" i="17"/>
  <c r="BM22" i="17"/>
  <c r="BN22" i="17" s="1"/>
  <c r="F46" i="17"/>
  <c r="F64" i="17"/>
  <c r="CQ20" i="17"/>
  <c r="BM24" i="17"/>
  <c r="BP24" i="17" s="1"/>
  <c r="BM26" i="17"/>
  <c r="BQ26" i="17" s="1"/>
  <c r="BM27" i="17"/>
  <c r="BR27" i="17" s="1"/>
  <c r="AB159" i="17"/>
  <c r="AB157" i="17"/>
  <c r="AB163" i="17"/>
  <c r="AL55" i="17"/>
  <c r="AA164" i="17"/>
  <c r="Z164" i="17"/>
  <c r="AB152" i="17"/>
  <c r="AB162" i="17"/>
  <c r="AL74" i="17"/>
  <c r="Z57" i="17"/>
  <c r="AD57" i="17" s="1"/>
  <c r="BN43" i="17"/>
  <c r="AJ57" i="17"/>
  <c r="BN42" i="17" s="1"/>
  <c r="BE25" i="17"/>
  <c r="AI31" i="17"/>
  <c r="Z32" i="17"/>
  <c r="AO25" i="17" s="1"/>
  <c r="AQ31" i="17"/>
  <c r="AL46" i="17"/>
  <c r="AR31" i="17"/>
  <c r="BE43" i="17"/>
  <c r="CA25" i="17"/>
  <c r="AF109" i="17"/>
  <c r="AF111" i="17"/>
  <c r="AF116" i="17"/>
  <c r="AF110" i="17"/>
  <c r="AF113" i="17"/>
  <c r="AF108" i="17"/>
  <c r="AF114" i="17"/>
  <c r="AF107" i="17"/>
  <c r="AF115" i="17"/>
  <c r="AF112" i="17"/>
  <c r="BR25" i="17"/>
  <c r="BX25" i="17" s="1"/>
  <c r="BO25" i="17"/>
  <c r="BU25" i="17" s="1"/>
  <c r="BP25" i="17"/>
  <c r="BV25" i="17" s="1"/>
  <c r="AO117" i="17"/>
  <c r="BM112" i="17"/>
  <c r="BC112" i="17"/>
  <c r="BM116" i="17"/>
  <c r="BC116" i="17"/>
  <c r="AF106" i="17"/>
  <c r="AK106" i="17" s="1"/>
  <c r="BB162" i="17"/>
  <c r="Y118" i="17"/>
  <c r="BN25" i="17"/>
  <c r="AG23" i="17"/>
  <c r="AL23" i="17" s="1"/>
  <c r="AG153" i="17"/>
  <c r="BC106" i="17"/>
  <c r="BC105" i="17"/>
  <c r="BC108" i="17"/>
  <c r="BB152" i="17"/>
  <c r="AL67" i="17"/>
  <c r="AG21" i="17"/>
  <c r="AL21" i="17" s="1"/>
  <c r="CA19" i="17"/>
  <c r="AG25" i="17"/>
  <c r="AL25" i="17" s="1"/>
  <c r="BC117" i="17"/>
  <c r="BM117" i="17"/>
  <c r="BM118" i="17"/>
  <c r="BC118" i="17"/>
  <c r="BB108" i="17"/>
  <c r="BB106" i="17"/>
  <c r="BL105" i="17"/>
  <c r="BB105" i="17"/>
  <c r="BL106" i="17"/>
  <c r="BC148" i="17"/>
  <c r="BC147" i="17"/>
  <c r="AG154" i="17"/>
  <c r="BC110" i="17"/>
  <c r="BM110" i="17"/>
  <c r="BL109" i="17"/>
  <c r="BB109" i="17"/>
  <c r="BN28" i="17"/>
  <c r="BR28" i="17"/>
  <c r="BQ28" i="17"/>
  <c r="BP28" i="17"/>
  <c r="BO28" i="17"/>
  <c r="CA28" i="17"/>
  <c r="AH72" i="17"/>
  <c r="AL72" i="17" s="1"/>
  <c r="AH51" i="17"/>
  <c r="AL51" i="17" s="1"/>
  <c r="BW25" i="17"/>
  <c r="AL76" i="17"/>
  <c r="AG30" i="17"/>
  <c r="AP31" i="17"/>
  <c r="BE23" i="17"/>
  <c r="AL54" i="17"/>
  <c r="AH66" i="17"/>
  <c r="AL66" i="17" s="1"/>
  <c r="AH45" i="17"/>
  <c r="Z56" i="17"/>
  <c r="BE24" i="17"/>
  <c r="AG161" i="17"/>
  <c r="BM111" i="17"/>
  <c r="BC111" i="17"/>
  <c r="Z31" i="17"/>
  <c r="BA19" i="17"/>
  <c r="AH19" i="17"/>
  <c r="BC115" i="17"/>
  <c r="BM115" i="17"/>
  <c r="BC114" i="17"/>
  <c r="BM114" i="17"/>
  <c r="CA21" i="17"/>
  <c r="BR21" i="17"/>
  <c r="BO21" i="17"/>
  <c r="BN21" i="17"/>
  <c r="BQ21" i="17"/>
  <c r="BP21" i="17"/>
  <c r="AH117" i="17"/>
  <c r="BN109" i="17"/>
  <c r="BD109" i="17"/>
  <c r="AL75" i="17"/>
  <c r="AK57" i="17"/>
  <c r="BO43" i="17"/>
  <c r="AR57" i="17"/>
  <c r="BF43" i="17"/>
  <c r="AE164" i="17"/>
  <c r="AG160" i="17"/>
  <c r="AG155" i="17"/>
  <c r="BM105" i="17"/>
  <c r="BM108" i="17"/>
  <c r="BM106" i="17"/>
  <c r="AG82" i="17"/>
  <c r="BC113" i="17"/>
  <c r="BM113" i="17"/>
  <c r="BB157" i="17"/>
  <c r="AK162" i="17"/>
  <c r="BC162" i="17" s="1"/>
  <c r="AK160" i="17"/>
  <c r="BC160" i="17" s="1"/>
  <c r="AK163" i="17"/>
  <c r="BC163" i="17" s="1"/>
  <c r="AK158" i="17"/>
  <c r="BC158" i="17" s="1"/>
  <c r="AK157" i="17"/>
  <c r="BC157" i="17" s="1"/>
  <c r="AK156" i="17"/>
  <c r="BC156" i="17" s="1"/>
  <c r="AK155" i="17"/>
  <c r="BC155" i="17" s="1"/>
  <c r="AK161" i="17"/>
  <c r="BC161" i="17" s="1"/>
  <c r="AK154" i="17"/>
  <c r="BC154" i="17" s="1"/>
  <c r="AK153" i="17"/>
  <c r="BC153" i="17" s="1"/>
  <c r="AK152" i="17"/>
  <c r="AM152" i="17" s="1"/>
  <c r="BC151" i="17"/>
  <c r="AK159" i="17"/>
  <c r="BC159" i="17" s="1"/>
  <c r="AG65" i="17"/>
  <c r="AG19" i="17" s="1"/>
  <c r="Y56" i="17"/>
  <c r="AG44" i="17"/>
  <c r="AD44" i="17"/>
  <c r="AG162" i="17"/>
  <c r="AG156" i="17"/>
  <c r="BM119" i="17"/>
  <c r="BC119" i="17"/>
  <c r="BB158" i="17"/>
  <c r="BD152" i="17"/>
  <c r="AL153" i="17"/>
  <c r="AG26" i="17"/>
  <c r="BD126" i="17"/>
  <c r="AK31" i="17"/>
  <c r="AL24" i="17"/>
  <c r="BB148" i="17"/>
  <c r="BB147" i="17"/>
  <c r="AG157" i="17"/>
  <c r="Y94" i="17"/>
  <c r="BB79" i="17"/>
  <c r="BL78" i="17"/>
  <c r="AC82" i="17"/>
  <c r="AA82" i="17"/>
  <c r="BK19" i="17"/>
  <c r="BK31" i="17" s="1"/>
  <c r="BD170" i="17" s="1"/>
  <c r="BM29" i="17"/>
  <c r="Y31" i="17"/>
  <c r="AZ19" i="17"/>
  <c r="AD19" i="17"/>
  <c r="AG20" i="17"/>
  <c r="AG159" i="17"/>
  <c r="AG158" i="17"/>
  <c r="BE27" i="17"/>
  <c r="AG22" i="17"/>
  <c r="AL22" i="17" s="1"/>
  <c r="BM120" i="17"/>
  <c r="BC120" i="17"/>
  <c r="AG117" i="17"/>
  <c r="BM109" i="17"/>
  <c r="BC109" i="17"/>
  <c r="CA20" i="17"/>
  <c r="BA26" i="17"/>
  <c r="BE26" i="17" s="1"/>
  <c r="AJ31" i="17"/>
  <c r="BN23" i="17"/>
  <c r="CA23" i="17"/>
  <c r="BR23" i="17"/>
  <c r="BP23" i="17"/>
  <c r="BO23" i="17"/>
  <c r="BQ23" i="17"/>
  <c r="BZ30" i="17"/>
  <c r="BM30" i="17"/>
  <c r="F65" i="17"/>
  <c r="F47" i="17"/>
  <c r="CQ21" i="17"/>
  <c r="F22" i="17"/>
  <c r="AG152" i="17"/>
  <c r="AD164" i="17"/>
  <c r="AG163" i="17"/>
  <c r="AH56" i="17" l="1"/>
  <c r="AH57" i="17" s="1"/>
  <c r="AL27" i="17"/>
  <c r="AF93" i="17"/>
  <c r="AI67" i="12" s="1"/>
  <c r="BC91" i="17"/>
  <c r="BC92" i="17" s="1"/>
  <c r="BC94" i="17" s="1"/>
  <c r="BM90" i="17"/>
  <c r="BM91" i="17" s="1"/>
  <c r="BM93" i="17" s="1"/>
  <c r="AL30" i="17"/>
  <c r="BN80" i="17"/>
  <c r="AE84" i="17"/>
  <c r="AD94" i="17"/>
  <c r="AH26" i="17"/>
  <c r="AL26" i="17" s="1"/>
  <c r="AB118" i="17"/>
  <c r="BD42" i="17"/>
  <c r="BM44" i="17" s="1"/>
  <c r="AA58" i="17"/>
  <c r="AA59" i="17" s="1"/>
  <c r="AA60" i="17" s="1"/>
  <c r="AB58" i="17"/>
  <c r="AB59" i="17" s="1"/>
  <c r="AB60" i="17" s="1"/>
  <c r="AB61" i="17" s="1"/>
  <c r="AB62" i="17" s="1"/>
  <c r="Z58" i="17"/>
  <c r="Z59" i="17" s="1"/>
  <c r="Z60" i="17" s="1"/>
  <c r="Z61" i="17" s="1"/>
  <c r="Z62" i="17" s="1"/>
  <c r="AC58" i="17"/>
  <c r="AC59" i="17" s="1"/>
  <c r="AC60" i="17" s="1"/>
  <c r="AC61" i="17" s="1"/>
  <c r="AC62" i="17" s="1"/>
  <c r="Y58" i="17"/>
  <c r="Y59" i="17" s="1"/>
  <c r="Y60" i="17" s="1"/>
  <c r="AD31" i="17"/>
  <c r="AL105" i="17"/>
  <c r="AD32" i="17"/>
  <c r="Y33" i="17" s="1"/>
  <c r="Y34" i="17" s="1"/>
  <c r="Y35" i="17" s="1"/>
  <c r="BN121" i="17"/>
  <c r="BN122" i="17" s="1"/>
  <c r="AJ164" i="17"/>
  <c r="AB117" i="17"/>
  <c r="BD121" i="17"/>
  <c r="BD122" i="17" s="1"/>
  <c r="AN152" i="17"/>
  <c r="AN153" i="17"/>
  <c r="AI109" i="17"/>
  <c r="AJ109" i="17" s="1"/>
  <c r="AJ60" i="12" s="1"/>
  <c r="AK109" i="17"/>
  <c r="AI114" i="17"/>
  <c r="AJ114" i="17" s="1"/>
  <c r="AJ65" i="12" s="1"/>
  <c r="AK114" i="17"/>
  <c r="AI108" i="17"/>
  <c r="AJ108" i="17" s="1"/>
  <c r="AJ59" i="12" s="1"/>
  <c r="AK108" i="17"/>
  <c r="AI113" i="17"/>
  <c r="AJ113" i="17" s="1"/>
  <c r="AJ64" i="12" s="1"/>
  <c r="AK113" i="17"/>
  <c r="BB119" i="17"/>
  <c r="BE119" i="17" s="1"/>
  <c r="AK115" i="17"/>
  <c r="AI110" i="17"/>
  <c r="AJ110" i="17" s="1"/>
  <c r="AJ61" i="12" s="1"/>
  <c r="AK110" i="17"/>
  <c r="BB120" i="17"/>
  <c r="BE120" i="17" s="1"/>
  <c r="AK116" i="17"/>
  <c r="BB111" i="17"/>
  <c r="BE111" i="17" s="1"/>
  <c r="AK107" i="17"/>
  <c r="AI112" i="17"/>
  <c r="AJ112" i="17" s="1"/>
  <c r="AJ63" i="12" s="1"/>
  <c r="AK112" i="17"/>
  <c r="AI111" i="17"/>
  <c r="AJ111" i="17" s="1"/>
  <c r="AJ62" i="12" s="1"/>
  <c r="AK111" i="17"/>
  <c r="AD56" i="17"/>
  <c r="BE42" i="17"/>
  <c r="BE44" i="17" s="1"/>
  <c r="BQ22" i="17"/>
  <c r="BW22" i="17" s="1"/>
  <c r="AO21" i="17"/>
  <c r="BP22" i="17"/>
  <c r="BV22" i="17" s="1"/>
  <c r="CA22" i="17"/>
  <c r="BO22" i="17"/>
  <c r="BR22" i="17"/>
  <c r="BX22" i="17" s="1"/>
  <c r="BR24" i="17"/>
  <c r="BX24" i="17" s="1"/>
  <c r="BP26" i="17"/>
  <c r="BV26" i="17" s="1"/>
  <c r="BN24" i="17"/>
  <c r="BT24" i="17" s="1"/>
  <c r="BO24" i="17"/>
  <c r="BU24" i="17" s="1"/>
  <c r="CA24" i="17"/>
  <c r="BO27" i="17"/>
  <c r="BU27" i="17" s="1"/>
  <c r="BQ24" i="17"/>
  <c r="BW24" i="17" s="1"/>
  <c r="BN27" i="17"/>
  <c r="BT27" i="17" s="1"/>
  <c r="BP27" i="17"/>
  <c r="BV27" i="17" s="1"/>
  <c r="BQ27" i="17"/>
  <c r="BW27" i="17" s="1"/>
  <c r="CA27" i="17"/>
  <c r="BN26" i="17"/>
  <c r="BT26" i="17" s="1"/>
  <c r="CA26" i="17"/>
  <c r="BR26" i="17"/>
  <c r="BX26" i="17" s="1"/>
  <c r="AB164" i="17"/>
  <c r="AB165" i="17" s="1"/>
  <c r="BM121" i="17"/>
  <c r="BM122" i="17" s="1"/>
  <c r="AL45" i="17"/>
  <c r="AN25" i="17"/>
  <c r="AS25" i="17" s="1"/>
  <c r="AO26" i="17"/>
  <c r="AN22" i="17"/>
  <c r="AN24" i="17"/>
  <c r="AN20" i="17"/>
  <c r="AN19" i="17"/>
  <c r="Y78" i="17"/>
  <c r="AD78" i="17" s="1"/>
  <c r="AO19" i="17"/>
  <c r="AO22" i="17"/>
  <c r="BL118" i="17"/>
  <c r="BO118" i="17" s="1"/>
  <c r="AI116" i="17"/>
  <c r="AJ116" i="17" s="1"/>
  <c r="AJ67" i="12" s="1"/>
  <c r="BB112" i="17"/>
  <c r="BE112" i="17" s="1"/>
  <c r="BB115" i="17"/>
  <c r="BE115" i="17" s="1"/>
  <c r="BL113" i="17"/>
  <c r="BO113" i="17" s="1"/>
  <c r="BL117" i="17"/>
  <c r="BO117" i="17" s="1"/>
  <c r="BB113" i="17"/>
  <c r="BE113" i="17" s="1"/>
  <c r="BB117" i="17"/>
  <c r="BE117" i="17" s="1"/>
  <c r="BL114" i="17"/>
  <c r="BO114" i="17" s="1"/>
  <c r="AI107" i="17"/>
  <c r="BL111" i="17"/>
  <c r="BO111" i="17" s="1"/>
  <c r="BB114" i="17"/>
  <c r="BE114" i="17" s="1"/>
  <c r="BL120" i="17"/>
  <c r="BO120" i="17" s="1"/>
  <c r="AI115" i="17"/>
  <c r="BB116" i="17"/>
  <c r="BE116" i="17" s="1"/>
  <c r="BL119" i="17"/>
  <c r="BO119" i="17" s="1"/>
  <c r="BL116" i="17"/>
  <c r="BO116" i="17" s="1"/>
  <c r="BB118" i="17"/>
  <c r="BE118" i="17" s="1"/>
  <c r="AF117" i="17"/>
  <c r="BL112" i="17"/>
  <c r="BO112" i="17" s="1"/>
  <c r="BL115" i="17"/>
  <c r="BO115" i="17" s="1"/>
  <c r="BL90" i="17"/>
  <c r="BN78" i="17"/>
  <c r="BT22" i="17"/>
  <c r="BV21" i="17"/>
  <c r="CK14" i="17"/>
  <c r="CC14" i="17"/>
  <c r="AO24" i="17"/>
  <c r="BO26" i="17"/>
  <c r="BL110" i="17"/>
  <c r="BO110" i="17" s="1"/>
  <c r="BB110" i="17"/>
  <c r="BE110" i="17" s="1"/>
  <c r="AI106" i="17"/>
  <c r="AL106" i="17" s="1"/>
  <c r="AG164" i="17"/>
  <c r="BT23" i="17"/>
  <c r="BS23" i="17"/>
  <c r="AZ31" i="17"/>
  <c r="BE19" i="17"/>
  <c r="BE31" i="17" s="1"/>
  <c r="BB91" i="17"/>
  <c r="BD79" i="17"/>
  <c r="AG56" i="17"/>
  <c r="AL44" i="17"/>
  <c r="BW21" i="17"/>
  <c r="AN30" i="17"/>
  <c r="F66" i="17"/>
  <c r="F48" i="17"/>
  <c r="F23" i="17"/>
  <c r="CQ22" i="17"/>
  <c r="Y95" i="17"/>
  <c r="AA95" i="17" s="1"/>
  <c r="AA213" i="17" s="1"/>
  <c r="AE213" i="17" s="1"/>
  <c r="AA94" i="17"/>
  <c r="AR53" i="17"/>
  <c r="AR54" i="17"/>
  <c r="AR55" i="17"/>
  <c r="AR50" i="17"/>
  <c r="AR45" i="17"/>
  <c r="AR49" i="17"/>
  <c r="AR47" i="17"/>
  <c r="AR46" i="17"/>
  <c r="BF42" i="17"/>
  <c r="AR48" i="17"/>
  <c r="AR51" i="17"/>
  <c r="AR52" i="17"/>
  <c r="AR44" i="17"/>
  <c r="BO42" i="17"/>
  <c r="BT21" i="17"/>
  <c r="BS21" i="17"/>
  <c r="BU28" i="17"/>
  <c r="AO30" i="17"/>
  <c r="BB164" i="17"/>
  <c r="CB14" i="17"/>
  <c r="CJ14" i="17"/>
  <c r="AN27" i="17"/>
  <c r="AN29" i="17"/>
  <c r="AN28" i="17"/>
  <c r="AL65" i="17"/>
  <c r="AL77" i="17" s="1"/>
  <c r="AG77" i="17"/>
  <c r="AG78" i="17" s="1"/>
  <c r="AN26" i="17"/>
  <c r="BM126" i="17"/>
  <c r="AO28" i="17"/>
  <c r="BU21" i="17"/>
  <c r="AH77" i="17"/>
  <c r="AH78" i="17" s="1"/>
  <c r="AH32" i="17" s="1"/>
  <c r="AH20" i="17"/>
  <c r="AO20" i="17"/>
  <c r="BV28" i="17"/>
  <c r="BW23" i="17"/>
  <c r="BC121" i="17"/>
  <c r="BC122" i="17" s="1"/>
  <c r="CA29" i="17"/>
  <c r="BV24" i="17"/>
  <c r="AO23" i="17"/>
  <c r="AN23" i="17"/>
  <c r="BX21" i="17"/>
  <c r="BW28" i="17"/>
  <c r="BC126" i="17"/>
  <c r="BX27" i="17"/>
  <c r="BW26" i="17"/>
  <c r="BU23" i="17"/>
  <c r="BX28" i="17"/>
  <c r="BE109" i="17"/>
  <c r="AN21" i="17"/>
  <c r="BT25" i="17"/>
  <c r="BS25" i="17"/>
  <c r="AO27" i="17"/>
  <c r="CA30" i="17"/>
  <c r="BV23" i="17"/>
  <c r="BD153" i="17"/>
  <c r="AL154" i="17"/>
  <c r="AM154" i="17" s="1"/>
  <c r="BS28" i="17"/>
  <c r="BT28" i="17"/>
  <c r="BO109" i="17"/>
  <c r="BX23" i="17"/>
  <c r="AM153" i="17"/>
  <c r="AG31" i="17"/>
  <c r="AL19" i="17"/>
  <c r="AC94" i="17"/>
  <c r="AF82" i="17"/>
  <c r="BC152" i="17"/>
  <c r="BC164" i="17" s="1"/>
  <c r="AK164" i="17"/>
  <c r="BA31" i="17"/>
  <c r="AO29" i="17"/>
  <c r="AL56" i="12"/>
  <c r="AL67" i="12"/>
  <c r="AL65" i="12"/>
  <c r="AL64" i="12"/>
  <c r="AL62" i="12"/>
  <c r="AL63" i="12"/>
  <c r="AL57" i="12"/>
  <c r="AL59" i="12"/>
  <c r="AL66" i="12"/>
  <c r="AL60" i="12"/>
  <c r="AL61" i="12"/>
  <c r="AL58" i="12"/>
  <c r="Y8" i="13"/>
  <c r="FA3" i="17" s="1"/>
  <c r="Y102" i="1"/>
  <c r="AF102" i="1" s="1"/>
  <c r="FA9" i="1"/>
  <c r="Y13" i="13"/>
  <c r="FA8" i="17" s="1"/>
  <c r="Z13" i="13"/>
  <c r="FB8" i="17" s="1"/>
  <c r="Z9" i="13"/>
  <c r="FB4" i="17" s="1"/>
  <c r="Z10" i="13"/>
  <c r="Z11" i="13"/>
  <c r="Z12" i="13"/>
  <c r="FB7" i="17" s="1"/>
  <c r="Z8" i="13"/>
  <c r="Y9" i="13"/>
  <c r="FA4" i="17" s="1"/>
  <c r="Y10" i="13"/>
  <c r="FA5" i="17" s="1"/>
  <c r="Y11" i="13"/>
  <c r="FA6" i="17" s="1"/>
  <c r="Y12" i="13"/>
  <c r="FA7" i="17" s="1"/>
  <c r="BM77" i="1"/>
  <c r="BL77" i="1"/>
  <c r="BK51" i="1"/>
  <c r="BK48" i="1"/>
  <c r="D110" i="1"/>
  <c r="D200" i="1"/>
  <c r="D18" i="13"/>
  <c r="BC43" i="17" l="1"/>
  <c r="BC93" i="17"/>
  <c r="BM92" i="17"/>
  <c r="FA5" i="1"/>
  <c r="BL43" i="17"/>
  <c r="FB3" i="17"/>
  <c r="AA8" i="13"/>
  <c r="BC128" i="17"/>
  <c r="BC127" i="17"/>
  <c r="BC129" i="17" s="1"/>
  <c r="BD128" i="17"/>
  <c r="BD127" i="17"/>
  <c r="BD129" i="17" s="1"/>
  <c r="BM128" i="17"/>
  <c r="BM127" i="17"/>
  <c r="BM129" i="17" s="1"/>
  <c r="BN128" i="17"/>
  <c r="BN127" i="17"/>
  <c r="BN129" i="17" s="1"/>
  <c r="AH31" i="17"/>
  <c r="BD123" i="17"/>
  <c r="AG84" i="17"/>
  <c r="G149" i="17" s="1"/>
  <c r="I149" i="17" s="1"/>
  <c r="AF84" i="17"/>
  <c r="AI58" i="12" s="1"/>
  <c r="AO58" i="12" s="1"/>
  <c r="AE94" i="17"/>
  <c r="FB8" i="1"/>
  <c r="FB6" i="1"/>
  <c r="FB6" i="17"/>
  <c r="AA10" i="13"/>
  <c r="BD63" i="1" s="1"/>
  <c r="FB5" i="17"/>
  <c r="BN44" i="17"/>
  <c r="BD44" i="17"/>
  <c r="BN123" i="17"/>
  <c r="AA33" i="17"/>
  <c r="AA34" i="17" s="1"/>
  <c r="AA35" i="17" s="1"/>
  <c r="AA36" i="17" s="1"/>
  <c r="AA37" i="17" s="1"/>
  <c r="Z33" i="17"/>
  <c r="Z34" i="17" s="1"/>
  <c r="Z35" i="17" s="1"/>
  <c r="Z36" i="17" s="1"/>
  <c r="Z37" i="17" s="1"/>
  <c r="AB33" i="17"/>
  <c r="AB34" i="17" s="1"/>
  <c r="AB35" i="17" s="1"/>
  <c r="AB36" i="17" s="1"/>
  <c r="AB37" i="17" s="1"/>
  <c r="AC33" i="17"/>
  <c r="AC34" i="17" s="1"/>
  <c r="AC35" i="17" s="1"/>
  <c r="AC36" i="17" s="1"/>
  <c r="AC37" i="17" s="1"/>
  <c r="BN124" i="17"/>
  <c r="BD124" i="17"/>
  <c r="AN154" i="17"/>
  <c r="G121" i="17"/>
  <c r="AL113" i="17"/>
  <c r="AL108" i="17"/>
  <c r="AL111" i="17"/>
  <c r="AL116" i="17"/>
  <c r="AL110" i="17"/>
  <c r="AL114" i="17"/>
  <c r="AL112" i="17"/>
  <c r="AL115" i="17"/>
  <c r="AL109" i="17"/>
  <c r="AL107" i="17"/>
  <c r="AL56" i="17"/>
  <c r="AS22" i="17"/>
  <c r="AS21" i="17"/>
  <c r="AS26" i="17"/>
  <c r="AS19" i="17"/>
  <c r="BS22" i="17"/>
  <c r="BU22" i="17"/>
  <c r="BS24" i="17"/>
  <c r="BS26" i="17"/>
  <c r="BS27" i="17"/>
  <c r="AS20" i="17"/>
  <c r="C152" i="17"/>
  <c r="C64" i="12"/>
  <c r="BE152" i="17"/>
  <c r="AS24" i="17"/>
  <c r="AI56" i="12"/>
  <c r="AS28" i="17"/>
  <c r="AS30" i="17"/>
  <c r="AO31" i="17"/>
  <c r="AL20" i="17"/>
  <c r="AL31" i="17" s="1"/>
  <c r="AS27" i="17"/>
  <c r="AN31" i="17"/>
  <c r="BB121" i="17"/>
  <c r="BB122" i="17" s="1"/>
  <c r="AJ107" i="17"/>
  <c r="AJ58" i="12" s="1"/>
  <c r="AJ115" i="17"/>
  <c r="AJ66" i="12" s="1"/>
  <c r="BL121" i="17"/>
  <c r="BL122" i="17" s="1"/>
  <c r="BM124" i="17"/>
  <c r="BM123" i="17"/>
  <c r="AJ106" i="17"/>
  <c r="AI117" i="17"/>
  <c r="AD59" i="17"/>
  <c r="AA61" i="17"/>
  <c r="AA62" i="17"/>
  <c r="AR56" i="17"/>
  <c r="F67" i="17"/>
  <c r="F49" i="17"/>
  <c r="CQ23" i="17"/>
  <c r="F24" i="17"/>
  <c r="BL91" i="17"/>
  <c r="BN90" i="17"/>
  <c r="Y61" i="17"/>
  <c r="AD60" i="17"/>
  <c r="BE153" i="17"/>
  <c r="BD154" i="17"/>
  <c r="BE154" i="17" s="1"/>
  <c r="AL155" i="17"/>
  <c r="AN155" i="17" s="1"/>
  <c r="BC42" i="17"/>
  <c r="BL42" i="17"/>
  <c r="BU26" i="17"/>
  <c r="BO121" i="17"/>
  <c r="BC124" i="17"/>
  <c r="BC123" i="17"/>
  <c r="AL78" i="17"/>
  <c r="AG32" i="17"/>
  <c r="AG57" i="17"/>
  <c r="BK43" i="17"/>
  <c r="BP43" i="17" s="1"/>
  <c r="BB43" i="17"/>
  <c r="AS29" i="17"/>
  <c r="BO44" i="17"/>
  <c r="BF44" i="17"/>
  <c r="AO32" i="17"/>
  <c r="BE121" i="17"/>
  <c r="AS23" i="17"/>
  <c r="BB92" i="17"/>
  <c r="BD91" i="17"/>
  <c r="Y36" i="17"/>
  <c r="FA3" i="1"/>
  <c r="FB4" i="1"/>
  <c r="AA9" i="13"/>
  <c r="DD45" i="1" s="1"/>
  <c r="FA8" i="1"/>
  <c r="FA7" i="1"/>
  <c r="AA13" i="13"/>
  <c r="BB97" i="17" s="1"/>
  <c r="FA6" i="1"/>
  <c r="AA12" i="13"/>
  <c r="BO63" i="1" s="1"/>
  <c r="FA4" i="1"/>
  <c r="AA11" i="13"/>
  <c r="FB7" i="1"/>
  <c r="FB5" i="1"/>
  <c r="FB3" i="1"/>
  <c r="FB9" i="1"/>
  <c r="AO57" i="12"/>
  <c r="AO61" i="12"/>
  <c r="BK53" i="1"/>
  <c r="BK54" i="1" s="1"/>
  <c r="B47" i="12"/>
  <c r="B46" i="12"/>
  <c r="AC44" i="1"/>
  <c r="AB44" i="1"/>
  <c r="AC55" i="1"/>
  <c r="AK55" i="1" s="1"/>
  <c r="AC30" i="1"/>
  <c r="AC32" i="1"/>
  <c r="AB32" i="1"/>
  <c r="AA32" i="1"/>
  <c r="AA20" i="1"/>
  <c r="AB20" i="1"/>
  <c r="AC20" i="1"/>
  <c r="AA21" i="1"/>
  <c r="AB21" i="1"/>
  <c r="AC21" i="1"/>
  <c r="AA22" i="1"/>
  <c r="AB22" i="1"/>
  <c r="AC22" i="1"/>
  <c r="AA23" i="1"/>
  <c r="AB23" i="1"/>
  <c r="AC23" i="1"/>
  <c r="AA24" i="1"/>
  <c r="AB24" i="1"/>
  <c r="AC24" i="1"/>
  <c r="AA25" i="1"/>
  <c r="AB25" i="1"/>
  <c r="AC25" i="1"/>
  <c r="AA26" i="1"/>
  <c r="AB26" i="1"/>
  <c r="AC26" i="1"/>
  <c r="AA27" i="1"/>
  <c r="AB27" i="1"/>
  <c r="AC27" i="1"/>
  <c r="AA28" i="1"/>
  <c r="AB28" i="1"/>
  <c r="AC28" i="1"/>
  <c r="AA29" i="1"/>
  <c r="AB29" i="1"/>
  <c r="AC29" i="1"/>
  <c r="AA30" i="1"/>
  <c r="AB30" i="1"/>
  <c r="AC19" i="1"/>
  <c r="AB19" i="1"/>
  <c r="AA19" i="1"/>
  <c r="EY3" i="1"/>
  <c r="BG43" i="17" l="1"/>
  <c r="BM63" i="1"/>
  <c r="BB98" i="17"/>
  <c r="BB100" i="17" s="1"/>
  <c r="BB99" i="17"/>
  <c r="BO122" i="17"/>
  <c r="BB123" i="17"/>
  <c r="BE123" i="17" s="1"/>
  <c r="AF94" i="17"/>
  <c r="BB97" i="1"/>
  <c r="FC8" i="17"/>
  <c r="BL97" i="17"/>
  <c r="BL99" i="17" s="1"/>
  <c r="FC7" i="17"/>
  <c r="BO63" i="17"/>
  <c r="BF63" i="17"/>
  <c r="DQ45" i="17"/>
  <c r="DH45" i="17"/>
  <c r="FC6" i="1"/>
  <c r="DP45" i="17"/>
  <c r="FC6" i="17"/>
  <c r="DG45" i="17"/>
  <c r="BN63" i="17"/>
  <c r="BE63" i="17"/>
  <c r="BD63" i="17"/>
  <c r="FC5" i="17"/>
  <c r="DO45" i="17"/>
  <c r="BM63" i="17"/>
  <c r="DF45" i="17"/>
  <c r="FC4" i="17"/>
  <c r="DD45" i="17"/>
  <c r="BB63" i="17"/>
  <c r="BK63" i="17"/>
  <c r="DM45" i="17"/>
  <c r="BK63" i="1"/>
  <c r="BL63" i="17"/>
  <c r="DE45" i="17"/>
  <c r="DN45" i="17"/>
  <c r="BC63" i="17"/>
  <c r="BM97" i="17"/>
  <c r="FC3" i="17"/>
  <c r="BC97" i="17"/>
  <c r="BL126" i="17"/>
  <c r="BL128" i="17" s="1"/>
  <c r="BO128" i="17" s="1"/>
  <c r="BO244" i="17" s="1"/>
  <c r="BB126" i="17"/>
  <c r="BB128" i="17" s="1"/>
  <c r="BE128" i="17" s="1"/>
  <c r="BK244" i="17" s="1"/>
  <c r="AD34" i="17"/>
  <c r="AD35" i="17"/>
  <c r="I121" i="17"/>
  <c r="G150" i="17"/>
  <c r="I150" i="17" s="1"/>
  <c r="AS31" i="17"/>
  <c r="BB124" i="17"/>
  <c r="BE124" i="17" s="1"/>
  <c r="BL124" i="17"/>
  <c r="BO124" i="17" s="1"/>
  <c r="BE122" i="17"/>
  <c r="BF122" i="17" s="1"/>
  <c r="BL123" i="17"/>
  <c r="BO123" i="17" s="1"/>
  <c r="AJ117" i="17"/>
  <c r="AA214" i="17" s="1"/>
  <c r="AE214" i="17" s="1"/>
  <c r="AJ57" i="12"/>
  <c r="Y37" i="17"/>
  <c r="AD37" i="17" s="1"/>
  <c r="AD36" i="17"/>
  <c r="AL57" i="17"/>
  <c r="BB42" i="17"/>
  <c r="BK42" i="17"/>
  <c r="BB94" i="17"/>
  <c r="BD94" i="17" s="1"/>
  <c r="BD92" i="17"/>
  <c r="BD214" i="17" s="1"/>
  <c r="BK214" i="17" s="1"/>
  <c r="BB93" i="17"/>
  <c r="BD93" i="17" s="1"/>
  <c r="BL44" i="17"/>
  <c r="BC44" i="17"/>
  <c r="AD61" i="17"/>
  <c r="Y62" i="17"/>
  <c r="AD62" i="17" s="1"/>
  <c r="AL32" i="17"/>
  <c r="AN32" i="17"/>
  <c r="BN91" i="17"/>
  <c r="BG214" i="17" s="1"/>
  <c r="BO214" i="17" s="1"/>
  <c r="BL93" i="17"/>
  <c r="BN93" i="17" s="1"/>
  <c r="BL92" i="17"/>
  <c r="BN92" i="17" s="1"/>
  <c r="BD155" i="17"/>
  <c r="BE155" i="17" s="1"/>
  <c r="AL156" i="17"/>
  <c r="AN156" i="17" s="1"/>
  <c r="AM155" i="17"/>
  <c r="F68" i="17"/>
  <c r="F50" i="17"/>
  <c r="CQ24" i="17"/>
  <c r="F25" i="17"/>
  <c r="DG45" i="1"/>
  <c r="FC8" i="1"/>
  <c r="BN63" i="1"/>
  <c r="BL97" i="1"/>
  <c r="DP45" i="1"/>
  <c r="BE63" i="1"/>
  <c r="DF45" i="1"/>
  <c r="DO45" i="1"/>
  <c r="BB63" i="1"/>
  <c r="DM45" i="1"/>
  <c r="AO62" i="12"/>
  <c r="AO60" i="12"/>
  <c r="AO66" i="12"/>
  <c r="DQ45" i="1"/>
  <c r="BF63" i="1"/>
  <c r="FC7" i="1"/>
  <c r="DH45" i="1"/>
  <c r="FC5" i="1"/>
  <c r="FC4" i="1"/>
  <c r="DE45" i="1"/>
  <c r="DN45" i="1"/>
  <c r="BC97" i="1"/>
  <c r="FC3" i="1"/>
  <c r="BL63" i="1"/>
  <c r="BM97" i="1"/>
  <c r="BC63" i="1"/>
  <c r="FC9" i="1"/>
  <c r="AO65" i="12"/>
  <c r="F60" i="1"/>
  <c r="J60" i="1"/>
  <c r="BP122" i="17" l="1"/>
  <c r="BG215" i="17"/>
  <c r="BO215" i="17" s="1"/>
  <c r="BL98" i="17"/>
  <c r="BL100" i="17" s="1"/>
  <c r="BC98" i="17"/>
  <c r="BC100" i="17" s="1"/>
  <c r="BD100" i="17" s="1"/>
  <c r="BC99" i="17"/>
  <c r="BD99" i="17" s="1"/>
  <c r="BK243" i="17" s="1"/>
  <c r="BB127" i="17"/>
  <c r="BB129" i="17" s="1"/>
  <c r="BE129" i="17" s="1"/>
  <c r="BM99" i="17"/>
  <c r="BN99" i="17" s="1"/>
  <c r="BO243" i="17" s="1"/>
  <c r="BM98" i="17"/>
  <c r="BM100" i="17" s="1"/>
  <c r="BL127" i="17"/>
  <c r="BL129" i="17" s="1"/>
  <c r="BO129" i="17" s="1"/>
  <c r="AK58" i="17"/>
  <c r="AK59" i="17" s="1"/>
  <c r="AK60" i="17" s="1"/>
  <c r="AK61" i="17" s="1"/>
  <c r="AK62" i="17" s="1"/>
  <c r="AI58" i="17"/>
  <c r="AJ58" i="17"/>
  <c r="AH58" i="17"/>
  <c r="AG58" i="17"/>
  <c r="AN50" i="17" s="1"/>
  <c r="AK33" i="17"/>
  <c r="AK34" i="17" s="1"/>
  <c r="AK35" i="17" s="1"/>
  <c r="AK36" i="17" s="1"/>
  <c r="AK37" i="17" s="1"/>
  <c r="AJ33" i="17"/>
  <c r="AJ34" i="17" s="1"/>
  <c r="AJ35" i="17" s="1"/>
  <c r="AJ36" i="17" s="1"/>
  <c r="AJ37" i="17" s="1"/>
  <c r="AI33" i="17"/>
  <c r="AI34" i="17" s="1"/>
  <c r="AI35" i="17" s="1"/>
  <c r="AI36" i="17" s="1"/>
  <c r="AI37" i="17" s="1"/>
  <c r="AH33" i="17"/>
  <c r="AH34" i="17" s="1"/>
  <c r="AH35" i="17" s="1"/>
  <c r="AH36" i="17" s="1"/>
  <c r="AH37" i="17" s="1"/>
  <c r="AG33" i="17"/>
  <c r="AG34" i="17" s="1"/>
  <c r="AG35" i="17" s="1"/>
  <c r="AP33" i="17"/>
  <c r="AN33" i="17"/>
  <c r="AO33" i="17"/>
  <c r="AW25" i="17" s="1"/>
  <c r="AR33" i="17"/>
  <c r="AQ33" i="17"/>
  <c r="BD215" i="17"/>
  <c r="BK215" i="17" s="1"/>
  <c r="AL157" i="17"/>
  <c r="AN157" i="17" s="1"/>
  <c r="BD156" i="17"/>
  <c r="BE156" i="17" s="1"/>
  <c r="AM156" i="17"/>
  <c r="BP42" i="17"/>
  <c r="F69" i="17"/>
  <c r="F51" i="17"/>
  <c r="CQ25" i="17"/>
  <c r="F26" i="17"/>
  <c r="BG42" i="17"/>
  <c r="BB44" i="17"/>
  <c r="BK44" i="17"/>
  <c r="AP59" i="12"/>
  <c r="AP66" i="12"/>
  <c r="AO63" i="12"/>
  <c r="AO59" i="12"/>
  <c r="AO67" i="12"/>
  <c r="AP58" i="12"/>
  <c r="AP63" i="12"/>
  <c r="AP57" i="12"/>
  <c r="AP67" i="12"/>
  <c r="AO64" i="12"/>
  <c r="AP60" i="12"/>
  <c r="BN100" i="17" l="1"/>
  <c r="BN98" i="17"/>
  <c r="BO232" i="17" s="1"/>
  <c r="BO254" i="17" s="1"/>
  <c r="BD98" i="17"/>
  <c r="BK232" i="17" s="1"/>
  <c r="BK254" i="17" s="1"/>
  <c r="BO127" i="17"/>
  <c r="BO233" i="17" s="1"/>
  <c r="BO255" i="17" s="1"/>
  <c r="BE127" i="17"/>
  <c r="BK233" i="17" s="1"/>
  <c r="BK255" i="17" s="1"/>
  <c r="AN49" i="17"/>
  <c r="AN54" i="17"/>
  <c r="AN52" i="17"/>
  <c r="AN51" i="17"/>
  <c r="AN46" i="17"/>
  <c r="AN55" i="17"/>
  <c r="AG59" i="17"/>
  <c r="AG60" i="17" s="1"/>
  <c r="AN48" i="17"/>
  <c r="AN47" i="17"/>
  <c r="AN53" i="17"/>
  <c r="AN44" i="17"/>
  <c r="BK45" i="17"/>
  <c r="BL45" i="17"/>
  <c r="BM45" i="17"/>
  <c r="BN45" i="17"/>
  <c r="BO45" i="17"/>
  <c r="BE45" i="17"/>
  <c r="BD45" i="17"/>
  <c r="BC45" i="17"/>
  <c r="BB45" i="17"/>
  <c r="BB57" i="17" s="1"/>
  <c r="BB58" i="17" s="1"/>
  <c r="BF45" i="17"/>
  <c r="AN45" i="17"/>
  <c r="AT22" i="17"/>
  <c r="AV22" i="17" s="1"/>
  <c r="AW28" i="17"/>
  <c r="AW23" i="17"/>
  <c r="AW21" i="17"/>
  <c r="AT23" i="17"/>
  <c r="AV23" i="17" s="1"/>
  <c r="AW24" i="17"/>
  <c r="AT27" i="17"/>
  <c r="AV27" i="17" s="1"/>
  <c r="AW26" i="17"/>
  <c r="AT24" i="17"/>
  <c r="AV24" i="17" s="1"/>
  <c r="AW20" i="17"/>
  <c r="AW29" i="17"/>
  <c r="AT26" i="17"/>
  <c r="AU26" i="17" s="1"/>
  <c r="AW19" i="17"/>
  <c r="AW30" i="17"/>
  <c r="AW27" i="17"/>
  <c r="AW22" i="17"/>
  <c r="AT21" i="17"/>
  <c r="AU21" i="17" s="1"/>
  <c r="AT29" i="17"/>
  <c r="AU29" i="17" s="1"/>
  <c r="AT25" i="17"/>
  <c r="AU25" i="17" s="1"/>
  <c r="AT30" i="17"/>
  <c r="AV30" i="17" s="1"/>
  <c r="AT28" i="17"/>
  <c r="AU28" i="17" s="1"/>
  <c r="AT20" i="17"/>
  <c r="AV20" i="17" s="1"/>
  <c r="AT19" i="17"/>
  <c r="AV19" i="17" s="1"/>
  <c r="AQ54" i="17"/>
  <c r="AQ53" i="17"/>
  <c r="AQ52" i="17"/>
  <c r="AQ46" i="17"/>
  <c r="AQ55" i="17"/>
  <c r="AQ50" i="17"/>
  <c r="AQ49" i="17"/>
  <c r="AQ45" i="17"/>
  <c r="AQ47" i="17"/>
  <c r="AQ48" i="17"/>
  <c r="AQ51" i="17"/>
  <c r="AQ44" i="17"/>
  <c r="AJ59" i="17"/>
  <c r="AJ60" i="17" s="1"/>
  <c r="AJ61" i="17" s="1"/>
  <c r="AJ62" i="17" s="1"/>
  <c r="AG36" i="17"/>
  <c r="AL35" i="17"/>
  <c r="F70" i="17"/>
  <c r="F52" i="17"/>
  <c r="CQ26" i="17"/>
  <c r="F27" i="17"/>
  <c r="AO52" i="17"/>
  <c r="AO51" i="17"/>
  <c r="AO55" i="17"/>
  <c r="AO54" i="17"/>
  <c r="AO50" i="17"/>
  <c r="AO44" i="17"/>
  <c r="AO48" i="17"/>
  <c r="AO46" i="17"/>
  <c r="AO53" i="17"/>
  <c r="AO49" i="17"/>
  <c r="AO47" i="17"/>
  <c r="AO45" i="17"/>
  <c r="AH59" i="17"/>
  <c r="AH60" i="17" s="1"/>
  <c r="AH61" i="17" s="1"/>
  <c r="AH62" i="17" s="1"/>
  <c r="AL158" i="17"/>
  <c r="AN158" i="17" s="1"/>
  <c r="BD157" i="17"/>
  <c r="BE157" i="17" s="1"/>
  <c r="AM157" i="17"/>
  <c r="AP55" i="17"/>
  <c r="AP52" i="17"/>
  <c r="AP51" i="17"/>
  <c r="AP47" i="17"/>
  <c r="AP44" i="17"/>
  <c r="AP54" i="17"/>
  <c r="AP53" i="17"/>
  <c r="AP48" i="17"/>
  <c r="AP49" i="17"/>
  <c r="AP46" i="17"/>
  <c r="AP50" i="17"/>
  <c r="AP45" i="17"/>
  <c r="AI59" i="17"/>
  <c r="AI60" i="17" s="1"/>
  <c r="AL34" i="17"/>
  <c r="AP62" i="12"/>
  <c r="AP65" i="12"/>
  <c r="AP64" i="12"/>
  <c r="AN56" i="17" l="1"/>
  <c r="AN57" i="17" s="1"/>
  <c r="AW31" i="17"/>
  <c r="AU22" i="17"/>
  <c r="AX22" i="17" s="1"/>
  <c r="AU30" i="17"/>
  <c r="AX30" i="17" s="1"/>
  <c r="AU24" i="17"/>
  <c r="AG61" i="12" s="1"/>
  <c r="AV26" i="17"/>
  <c r="AS54" i="17"/>
  <c r="AS55" i="17"/>
  <c r="AV21" i="17"/>
  <c r="AU20" i="17"/>
  <c r="AG57" i="12" s="1"/>
  <c r="AU27" i="17"/>
  <c r="AG64" i="12" s="1"/>
  <c r="AU23" i="17"/>
  <c r="AG60" i="12" s="1"/>
  <c r="AV28" i="17"/>
  <c r="AU19" i="17"/>
  <c r="AX19" i="17" s="1"/>
  <c r="AT31" i="17"/>
  <c r="AV29" i="17"/>
  <c r="AV25" i="17"/>
  <c r="AS50" i="17"/>
  <c r="AS51" i="17"/>
  <c r="AS49" i="17"/>
  <c r="AS53" i="17"/>
  <c r="AS52" i="17"/>
  <c r="AS47" i="17"/>
  <c r="AS48" i="17"/>
  <c r="AS46" i="17"/>
  <c r="AG58" i="12"/>
  <c r="AX21" i="17"/>
  <c r="AG62" i="12"/>
  <c r="AX25" i="17"/>
  <c r="AG63" i="12"/>
  <c r="AX26" i="17"/>
  <c r="AG65" i="12"/>
  <c r="AX28" i="17"/>
  <c r="AG66" i="12"/>
  <c r="AX29" i="17"/>
  <c r="AS44" i="17"/>
  <c r="AS45" i="17"/>
  <c r="BO57" i="17"/>
  <c r="BO58" i="17"/>
  <c r="BO59" i="17" s="1"/>
  <c r="BO64" i="17" s="1"/>
  <c r="BO66" i="17" s="1"/>
  <c r="BN57" i="17"/>
  <c r="BN58" i="17"/>
  <c r="BN59" i="17" s="1"/>
  <c r="AP56" i="17"/>
  <c r="BM58" i="17"/>
  <c r="BM59" i="17" s="1"/>
  <c r="BM57" i="17"/>
  <c r="AI62" i="17"/>
  <c r="AI61" i="17"/>
  <c r="BK57" i="17"/>
  <c r="BK58" i="17" s="1"/>
  <c r="AL159" i="17"/>
  <c r="AN159" i="17" s="1"/>
  <c r="BD158" i="17"/>
  <c r="BE158" i="17" s="1"/>
  <c r="AM158" i="17"/>
  <c r="BC57" i="17"/>
  <c r="BC58" i="17" s="1"/>
  <c r="AQ56" i="17"/>
  <c r="AL59" i="17"/>
  <c r="BF57" i="17"/>
  <c r="BF58" i="17"/>
  <c r="BF59" i="17" s="1"/>
  <c r="AL60" i="17"/>
  <c r="AG61" i="17"/>
  <c r="BD57" i="17"/>
  <c r="BD58" i="17"/>
  <c r="BD59" i="17" s="1"/>
  <c r="AO56" i="17"/>
  <c r="BE57" i="17"/>
  <c r="BE58" i="17"/>
  <c r="BE59" i="17" s="1"/>
  <c r="BL57" i="17"/>
  <c r="BL58" i="17" s="1"/>
  <c r="BL59" i="17" s="1"/>
  <c r="AG37" i="17"/>
  <c r="AL37" i="17" s="1"/>
  <c r="AA211" i="17" s="1"/>
  <c r="AL36" i="17"/>
  <c r="BB59" i="17"/>
  <c r="F71" i="17"/>
  <c r="F53" i="17"/>
  <c r="CQ27" i="17"/>
  <c r="F28" i="17"/>
  <c r="AP61" i="12"/>
  <c r="AO56" i="12"/>
  <c r="AO68" i="12" s="1"/>
  <c r="AI68" i="12"/>
  <c r="BF65" i="17" l="1"/>
  <c r="BF64" i="17"/>
  <c r="BF66" i="17" s="1"/>
  <c r="BL65" i="17"/>
  <c r="BL64" i="17"/>
  <c r="BL66" i="17" s="1"/>
  <c r="BE65" i="17"/>
  <c r="BE64" i="17"/>
  <c r="BE66" i="17" s="1"/>
  <c r="BB65" i="17"/>
  <c r="BB64" i="17"/>
  <c r="BB66" i="17" s="1"/>
  <c r="BD65" i="17"/>
  <c r="BD64" i="17"/>
  <c r="BD66" i="17" s="1"/>
  <c r="BM64" i="17"/>
  <c r="BM66" i="17" s="1"/>
  <c r="BM65" i="17"/>
  <c r="BO65" i="17"/>
  <c r="BN65" i="17"/>
  <c r="BN64" i="17"/>
  <c r="BN66" i="17" s="1"/>
  <c r="AG56" i="12"/>
  <c r="AX27" i="17"/>
  <c r="AG59" i="12"/>
  <c r="AG67" i="12"/>
  <c r="AX24" i="17"/>
  <c r="AX20" i="17"/>
  <c r="AX23" i="17"/>
  <c r="AU31" i="17"/>
  <c r="AS56" i="17"/>
  <c r="BL60" i="17"/>
  <c r="BL61" i="17"/>
  <c r="BC59" i="17"/>
  <c r="BG58" i="17"/>
  <c r="BH58" i="17" s="1"/>
  <c r="AO57" i="17"/>
  <c r="BP57" i="17"/>
  <c r="BQ57" i="17" s="1"/>
  <c r="BN61" i="17"/>
  <c r="BN60" i="17"/>
  <c r="F72" i="17"/>
  <c r="F54" i="17"/>
  <c r="CQ28" i="17"/>
  <c r="F29" i="17"/>
  <c r="BF61" i="17"/>
  <c r="BF60" i="17"/>
  <c r="BK59" i="17"/>
  <c r="BP58" i="17"/>
  <c r="BQ58" i="17" s="1"/>
  <c r="AL160" i="17"/>
  <c r="AN160" i="17" s="1"/>
  <c r="BD159" i="17"/>
  <c r="BE159" i="17" s="1"/>
  <c r="AM159" i="17"/>
  <c r="BG57" i="17"/>
  <c r="BH57" i="17" s="1"/>
  <c r="BB61" i="17"/>
  <c r="BB60" i="17"/>
  <c r="BD60" i="17"/>
  <c r="BD61" i="17"/>
  <c r="BE60" i="17"/>
  <c r="BE61" i="17"/>
  <c r="AG62" i="17"/>
  <c r="AL62" i="17" s="1"/>
  <c r="AA212" i="17" s="1"/>
  <c r="AE212" i="17" s="1"/>
  <c r="AL61" i="17"/>
  <c r="BO60" i="17"/>
  <c r="BO61" i="17"/>
  <c r="AE211" i="17"/>
  <c r="BM61" i="17"/>
  <c r="BM60" i="17"/>
  <c r="BG59" i="17" l="1"/>
  <c r="BH59" i="17" s="1"/>
  <c r="BC65" i="17"/>
  <c r="BG65" i="17" s="1"/>
  <c r="BK242" i="17" s="1"/>
  <c r="BC64" i="17"/>
  <c r="BC66" i="17" s="1"/>
  <c r="BG66" i="17" s="1"/>
  <c r="BK65" i="17"/>
  <c r="BP65" i="17" s="1"/>
  <c r="BO242" i="17" s="1"/>
  <c r="BK64" i="17"/>
  <c r="BK66" i="17" s="1"/>
  <c r="BP66" i="17" s="1"/>
  <c r="AQ58" i="17"/>
  <c r="AP58" i="17"/>
  <c r="AR58" i="17"/>
  <c r="AO58" i="17"/>
  <c r="AW53" i="17" s="1"/>
  <c r="AX53" i="17" s="1"/>
  <c r="AN58" i="17"/>
  <c r="G147" i="17"/>
  <c r="I147" i="17" s="1"/>
  <c r="AA209" i="17"/>
  <c r="AE209" i="17"/>
  <c r="BD160" i="17"/>
  <c r="BE160" i="17" s="1"/>
  <c r="AL161" i="17"/>
  <c r="AN161" i="17" s="1"/>
  <c r="AM160" i="17"/>
  <c r="F73" i="17"/>
  <c r="F55" i="17"/>
  <c r="CQ29" i="17"/>
  <c r="F30" i="17"/>
  <c r="BK60" i="17"/>
  <c r="BP60" i="17" s="1"/>
  <c r="BQ60" i="17" s="1"/>
  <c r="BP59" i="17"/>
  <c r="BG213" i="17" s="1"/>
  <c r="BO213" i="17" s="1"/>
  <c r="BK61" i="17"/>
  <c r="BP61" i="17" s="1"/>
  <c r="BQ61" i="17" s="1"/>
  <c r="BC61" i="17"/>
  <c r="BG61" i="17" s="1"/>
  <c r="BH61" i="17" s="1"/>
  <c r="BC60" i="17"/>
  <c r="BG60" i="17" s="1"/>
  <c r="BH60" i="17" s="1"/>
  <c r="BD213" i="17" l="1"/>
  <c r="BK213" i="17" s="1"/>
  <c r="BG64" i="17"/>
  <c r="BK231" i="17" s="1"/>
  <c r="BK253" i="17" s="1"/>
  <c r="BP64" i="17"/>
  <c r="BO231" i="17" s="1"/>
  <c r="BO253" i="17" s="1"/>
  <c r="AW46" i="17"/>
  <c r="AX46" i="17" s="1"/>
  <c r="AW54" i="17"/>
  <c r="AX54" i="17" s="1"/>
  <c r="AW44" i="17"/>
  <c r="AX44" i="17" s="1"/>
  <c r="AW49" i="17"/>
  <c r="AX49" i="17" s="1"/>
  <c r="AT54" i="17"/>
  <c r="AU54" i="17" s="1"/>
  <c r="AH66" i="12" s="1"/>
  <c r="AN66" i="12" s="1"/>
  <c r="AW47" i="17"/>
  <c r="AX47" i="17" s="1"/>
  <c r="AT49" i="17"/>
  <c r="AV49" i="17" s="1"/>
  <c r="AW51" i="17"/>
  <c r="AX51" i="17" s="1"/>
  <c r="AW52" i="17"/>
  <c r="AX52" i="17" s="1"/>
  <c r="AT53" i="17"/>
  <c r="AT44" i="17"/>
  <c r="AT52" i="17"/>
  <c r="AT45" i="17"/>
  <c r="AT55" i="17"/>
  <c r="AT46" i="17"/>
  <c r="AT48" i="17"/>
  <c r="AT50" i="17"/>
  <c r="AW50" i="17"/>
  <c r="AX50" i="17" s="1"/>
  <c r="AW48" i="17"/>
  <c r="AX48" i="17" s="1"/>
  <c r="AW45" i="17"/>
  <c r="AX45" i="17" s="1"/>
  <c r="AW55" i="17"/>
  <c r="AX55" i="17" s="1"/>
  <c r="AT51" i="17"/>
  <c r="AU51" i="17" s="1"/>
  <c r="AH63" i="12" s="1"/>
  <c r="AN63" i="12" s="1"/>
  <c r="AT47" i="17"/>
  <c r="BD161" i="17"/>
  <c r="BE161" i="17" s="1"/>
  <c r="AL162" i="17"/>
  <c r="AN162" i="17" s="1"/>
  <c r="AM161" i="17"/>
  <c r="BQ59" i="17"/>
  <c r="F74" i="17"/>
  <c r="F56" i="17"/>
  <c r="CQ30" i="17"/>
  <c r="AU49" i="17" l="1"/>
  <c r="AH61" i="12" s="1"/>
  <c r="AN61" i="12" s="1"/>
  <c r="AV54" i="17"/>
  <c r="AV51" i="17"/>
  <c r="AU52" i="17"/>
  <c r="AH64" i="12" s="1"/>
  <c r="AN64" i="12" s="1"/>
  <c r="AV52" i="17"/>
  <c r="AU44" i="17"/>
  <c r="AH56" i="12" s="1"/>
  <c r="AV44" i="17"/>
  <c r="AU50" i="17"/>
  <c r="AH62" i="12" s="1"/>
  <c r="AN62" i="12" s="1"/>
  <c r="AV50" i="17"/>
  <c r="AU48" i="17"/>
  <c r="AH60" i="12" s="1"/>
  <c r="AN60" i="12" s="1"/>
  <c r="AV48" i="17"/>
  <c r="AU47" i="17"/>
  <c r="AH59" i="12" s="1"/>
  <c r="AN59" i="12" s="1"/>
  <c r="AV47" i="17"/>
  <c r="AU46" i="17"/>
  <c r="AH58" i="12" s="1"/>
  <c r="AN58" i="12" s="1"/>
  <c r="AV46" i="17"/>
  <c r="AV55" i="17"/>
  <c r="AU55" i="17"/>
  <c r="AH67" i="12" s="1"/>
  <c r="AN67" i="12" s="1"/>
  <c r="AW56" i="17"/>
  <c r="AU45" i="17"/>
  <c r="AH57" i="12" s="1"/>
  <c r="AN57" i="12" s="1"/>
  <c r="AV45" i="17"/>
  <c r="AT56" i="17"/>
  <c r="AV53" i="17"/>
  <c r="AU53" i="17"/>
  <c r="AH65" i="12" s="1"/>
  <c r="AN65" i="12" s="1"/>
  <c r="BD162" i="17"/>
  <c r="BE162" i="17" s="1"/>
  <c r="AL163" i="17"/>
  <c r="AN163" i="17" s="1"/>
  <c r="G172" i="17" s="1"/>
  <c r="I172" i="17" s="1"/>
  <c r="AM162" i="17"/>
  <c r="G148" i="17" l="1"/>
  <c r="I148" i="17" s="1"/>
  <c r="AH68" i="12"/>
  <c r="AN56" i="12"/>
  <c r="AN68" i="12" s="1"/>
  <c r="AU56" i="17"/>
  <c r="BD163" i="17"/>
  <c r="AM163" i="17"/>
  <c r="AM164" i="17" s="1"/>
  <c r="AL164" i="17"/>
  <c r="BE163" i="17" l="1"/>
  <c r="BE164" i="17" s="1"/>
  <c r="BD166" i="17" s="1"/>
  <c r="BD164" i="17"/>
  <c r="BD168" i="17" l="1"/>
  <c r="BD169" i="17" s="1"/>
  <c r="C63" i="12"/>
  <c r="D63" i="12" s="1"/>
  <c r="BD171" i="17" l="1"/>
  <c r="CD11" i="17" s="1"/>
  <c r="G53" i="12"/>
  <c r="F20" i="14" l="1"/>
  <c r="F21" i="14" s="1"/>
  <c r="F19" i="14" s="1"/>
  <c r="T39" i="14"/>
  <c r="R39" i="14"/>
  <c r="P39" i="14"/>
  <c r="N39" i="14"/>
  <c r="L39" i="14"/>
  <c r="J39" i="14"/>
  <c r="H39" i="14"/>
  <c r="F39" i="14"/>
  <c r="D39" i="14"/>
  <c r="T38" i="14"/>
  <c r="R38" i="14"/>
  <c r="P38" i="14"/>
  <c r="N38" i="14"/>
  <c r="L38" i="14"/>
  <c r="J38" i="14"/>
  <c r="H38" i="14"/>
  <c r="F38" i="14"/>
  <c r="D38" i="14"/>
  <c r="T24" i="14"/>
  <c r="T23" i="14"/>
  <c r="R24" i="14"/>
  <c r="R23" i="14"/>
  <c r="P24" i="14"/>
  <c r="P23" i="14"/>
  <c r="N24" i="14"/>
  <c r="N23" i="14"/>
  <c r="L24" i="14"/>
  <c r="L23" i="14"/>
  <c r="J24" i="14"/>
  <c r="J23" i="14"/>
  <c r="H24" i="14"/>
  <c r="H23" i="14"/>
  <c r="F24" i="14"/>
  <c r="F23" i="14"/>
  <c r="D23" i="14"/>
  <c r="D24" i="14"/>
  <c r="B34" i="14"/>
  <c r="B33" i="14"/>
  <c r="D11" i="14"/>
  <c r="D10" i="14"/>
  <c r="D9" i="14"/>
  <c r="D8" i="14"/>
  <c r="D7" i="14"/>
  <c r="B17" i="14" s="1"/>
  <c r="C12" i="12"/>
  <c r="C18" i="12"/>
  <c r="C9" i="12"/>
  <c r="C8" i="12"/>
  <c r="C7" i="12"/>
  <c r="B22" i="12" l="1"/>
  <c r="B18" i="14" s="1"/>
  <c r="D56" i="12"/>
  <c r="D57" i="12"/>
  <c r="D7" i="12"/>
  <c r="D58" i="12"/>
  <c r="B21" i="12"/>
  <c r="C57" i="12"/>
  <c r="C58" i="12"/>
  <c r="C56" i="12"/>
  <c r="C55" i="12"/>
  <c r="C53" i="12"/>
  <c r="M59" i="12"/>
  <c r="L54" i="12"/>
  <c r="M58" i="12"/>
  <c r="K63" i="12"/>
  <c r="M55" i="12"/>
  <c r="K54" i="12"/>
  <c r="L56" i="12"/>
  <c r="M60" i="12"/>
  <c r="M57" i="12"/>
  <c r="L53" i="12"/>
  <c r="K56" i="12"/>
  <c r="L58" i="12"/>
  <c r="M62" i="12"/>
  <c r="M63" i="12"/>
  <c r="K58" i="12"/>
  <c r="L60" i="12"/>
  <c r="M64" i="12"/>
  <c r="L55" i="12"/>
  <c r="K53" i="12"/>
  <c r="K60" i="12"/>
  <c r="L62" i="12"/>
  <c r="K55" i="12"/>
  <c r="L57" i="12"/>
  <c r="K62" i="12"/>
  <c r="L64" i="12"/>
  <c r="K57" i="12"/>
  <c r="L59" i="12"/>
  <c r="M56" i="12"/>
  <c r="K61" i="12"/>
  <c r="K64" i="12"/>
  <c r="M54" i="12"/>
  <c r="K59" i="12"/>
  <c r="L61" i="12"/>
  <c r="L63" i="12"/>
  <c r="B20" i="12"/>
  <c r="C14" i="12"/>
  <c r="C13" i="12"/>
  <c r="J146" i="1"/>
  <c r="AD147" i="1"/>
  <c r="AJ147" i="1" s="1"/>
  <c r="D194" i="1"/>
  <c r="D201" i="1" l="1"/>
  <c r="AJ151" i="1"/>
  <c r="BB151" i="1" s="1"/>
  <c r="O160" i="1" l="1"/>
  <c r="O161" i="1"/>
  <c r="O162" i="1"/>
  <c r="O163" i="1"/>
  <c r="O164" i="1"/>
  <c r="O165" i="1"/>
  <c r="O166" i="1"/>
  <c r="O167" i="1"/>
  <c r="O168" i="1"/>
  <c r="O169" i="1"/>
  <c r="O170" i="1"/>
  <c r="O159" i="1"/>
  <c r="L160" i="1"/>
  <c r="L161" i="1"/>
  <c r="L162" i="1"/>
  <c r="L163" i="1"/>
  <c r="L164" i="1"/>
  <c r="L165" i="1"/>
  <c r="L166" i="1"/>
  <c r="L167" i="1"/>
  <c r="L168" i="1"/>
  <c r="L169" i="1"/>
  <c r="L170" i="1"/>
  <c r="L159" i="1"/>
  <c r="I159" i="1"/>
  <c r="I160" i="1"/>
  <c r="I161" i="1"/>
  <c r="I162" i="1"/>
  <c r="I163" i="1"/>
  <c r="I164" i="1"/>
  <c r="I165" i="1"/>
  <c r="I166" i="1"/>
  <c r="I167" i="1"/>
  <c r="I168" i="1"/>
  <c r="I169" i="1"/>
  <c r="I170" i="1"/>
  <c r="AF147" i="1"/>
  <c r="AE147" i="1"/>
  <c r="AK147" i="1" s="1"/>
  <c r="AK151" i="1" s="1"/>
  <c r="Z147" i="1"/>
  <c r="Y147" i="1"/>
  <c r="Y151" i="1" s="1"/>
  <c r="Y152" i="1" s="1"/>
  <c r="AA147" i="1"/>
  <c r="Y154" i="1" l="1"/>
  <c r="Y162" i="1"/>
  <c r="Y155" i="1"/>
  <c r="Y163" i="1"/>
  <c r="Y158" i="1"/>
  <c r="Y161" i="1"/>
  <c r="Y153" i="1"/>
  <c r="Y159" i="1"/>
  <c r="Y157" i="1"/>
  <c r="Y156" i="1"/>
  <c r="Y160" i="1"/>
  <c r="AF151" i="1"/>
  <c r="BD146" i="1" s="1"/>
  <c r="AL147" i="1"/>
  <c r="AL151" i="1" s="1"/>
  <c r="BC151" i="1"/>
  <c r="AA151" i="1"/>
  <c r="AD151" i="1"/>
  <c r="BB146" i="1" s="1"/>
  <c r="AE151" i="1"/>
  <c r="BC146" i="1" s="1"/>
  <c r="Z151" i="1"/>
  <c r="Z159" i="1" l="1"/>
  <c r="Z160" i="1"/>
  <c r="Z152" i="1"/>
  <c r="Z157" i="1"/>
  <c r="Z155" i="1"/>
  <c r="Z163" i="1"/>
  <c r="Z156" i="1"/>
  <c r="Z154" i="1"/>
  <c r="Z162" i="1"/>
  <c r="Z158" i="1"/>
  <c r="Z153" i="1"/>
  <c r="Z161" i="1"/>
  <c r="AA156" i="1"/>
  <c r="AA154" i="1"/>
  <c r="AA157" i="1"/>
  <c r="AA160" i="1"/>
  <c r="AA162" i="1"/>
  <c r="AA155" i="1"/>
  <c r="AA163" i="1"/>
  <c r="AA158" i="1"/>
  <c r="AA152" i="1"/>
  <c r="AA153" i="1"/>
  <c r="AA161" i="1"/>
  <c r="AA159" i="1"/>
  <c r="AF152" i="1"/>
  <c r="AL152" i="1" s="1"/>
  <c r="BD152" i="1" s="1"/>
  <c r="AF156" i="1"/>
  <c r="AF154" i="1"/>
  <c r="AF158" i="1"/>
  <c r="AF157" i="1"/>
  <c r="BC148" i="1"/>
  <c r="BC147" i="1"/>
  <c r="BB148" i="1"/>
  <c r="BB147" i="1"/>
  <c r="BD151" i="1"/>
  <c r="BD148" i="1"/>
  <c r="BD147" i="1"/>
  <c r="AF153" i="1"/>
  <c r="AF160" i="1"/>
  <c r="AF155" i="1"/>
  <c r="AF163" i="1"/>
  <c r="AF159" i="1"/>
  <c r="AF162" i="1"/>
  <c r="AF161" i="1"/>
  <c r="AE158" i="1"/>
  <c r="AK158" i="1" s="1"/>
  <c r="AE160" i="1"/>
  <c r="AK160" i="1" s="1"/>
  <c r="AE162" i="1"/>
  <c r="AK162" i="1" s="1"/>
  <c r="AE157" i="1"/>
  <c r="AK157" i="1" s="1"/>
  <c r="AE153" i="1"/>
  <c r="AK153" i="1" s="1"/>
  <c r="AE161" i="1"/>
  <c r="AK161" i="1" s="1"/>
  <c r="AE154" i="1"/>
  <c r="AK154" i="1" s="1"/>
  <c r="AE159" i="1"/>
  <c r="AK159" i="1" s="1"/>
  <c r="AE155" i="1"/>
  <c r="AK155" i="1" s="1"/>
  <c r="AE163" i="1"/>
  <c r="AK163" i="1" s="1"/>
  <c r="AE156" i="1"/>
  <c r="AK156" i="1" s="1"/>
  <c r="AE152" i="1"/>
  <c r="AK152" i="1" s="1"/>
  <c r="BC152" i="1" s="1"/>
  <c r="AL153" i="1" l="1"/>
  <c r="AL154" i="1" s="1"/>
  <c r="AL155" i="1" s="1"/>
  <c r="AL156" i="1" s="1"/>
  <c r="AL157" i="1" s="1"/>
  <c r="AL158" i="1" s="1"/>
  <c r="AL159" i="1" s="1"/>
  <c r="AL160" i="1" s="1"/>
  <c r="AL161" i="1" s="1"/>
  <c r="AL162" i="1" s="1"/>
  <c r="AL163" i="1" s="1"/>
  <c r="AF164" i="1"/>
  <c r="Z164" i="1"/>
  <c r="AA164" i="1"/>
  <c r="BC153" i="1" l="1"/>
  <c r="Z102" i="1"/>
  <c r="AG102" i="1" s="1"/>
  <c r="EY13" i="1"/>
  <c r="EY12" i="1"/>
  <c r="EY11" i="1"/>
  <c r="EY10" i="1"/>
  <c r="EY9" i="1"/>
  <c r="EY8" i="1"/>
  <c r="EY7" i="1"/>
  <c r="EY6" i="1"/>
  <c r="EY5" i="1"/>
  <c r="EY4" i="1"/>
  <c r="EX14" i="1" s="1"/>
  <c r="BC154" i="1" l="1"/>
  <c r="EY14" i="1"/>
  <c r="Z104" i="1"/>
  <c r="Y104" i="1"/>
  <c r="AF104" i="1" s="1"/>
  <c r="AJ44" i="1"/>
  <c r="AK44" i="1"/>
  <c r="O64" i="1"/>
  <c r="AA66" i="1" s="1"/>
  <c r="O65" i="1"/>
  <c r="AA67" i="1" s="1"/>
  <c r="O66" i="1"/>
  <c r="AA68" i="1" s="1"/>
  <c r="O67" i="1"/>
  <c r="AA69" i="1" s="1"/>
  <c r="O68" i="1"/>
  <c r="AA70" i="1" s="1"/>
  <c r="O69" i="1"/>
  <c r="AA71" i="1" s="1"/>
  <c r="O70" i="1"/>
  <c r="AA72" i="1" s="1"/>
  <c r="O71" i="1"/>
  <c r="AA73" i="1" s="1"/>
  <c r="O72" i="1"/>
  <c r="AA74" i="1" s="1"/>
  <c r="O73" i="1"/>
  <c r="AA75" i="1" s="1"/>
  <c r="O74" i="1"/>
  <c r="AA76" i="1" s="1"/>
  <c r="O63" i="1"/>
  <c r="L63" i="1"/>
  <c r="L70" i="1"/>
  <c r="L71" i="1"/>
  <c r="L72" i="1"/>
  <c r="L73" i="1"/>
  <c r="L74" i="1"/>
  <c r="L64" i="1"/>
  <c r="L65" i="1"/>
  <c r="L66" i="1"/>
  <c r="L67" i="1"/>
  <c r="L68" i="1"/>
  <c r="L69" i="1"/>
  <c r="I63" i="1"/>
  <c r="I64" i="1"/>
  <c r="I65" i="1"/>
  <c r="I66" i="1"/>
  <c r="I67" i="1"/>
  <c r="I68" i="1"/>
  <c r="I69" i="1"/>
  <c r="I70" i="1"/>
  <c r="I71" i="1"/>
  <c r="I72" i="1"/>
  <c r="I73" i="1"/>
  <c r="I74" i="1"/>
  <c r="F19" i="1"/>
  <c r="F63" i="1" s="1"/>
  <c r="AB66" i="1"/>
  <c r="AC66" i="1"/>
  <c r="AB67" i="1"/>
  <c r="AC67" i="1"/>
  <c r="AB68" i="1"/>
  <c r="AC68" i="1"/>
  <c r="AB69" i="1"/>
  <c r="AC69" i="1"/>
  <c r="AB70" i="1"/>
  <c r="AC70" i="1"/>
  <c r="AB71" i="1"/>
  <c r="AC71" i="1"/>
  <c r="AB72" i="1"/>
  <c r="AC72" i="1"/>
  <c r="AB73" i="1"/>
  <c r="AC73" i="1"/>
  <c r="AB74" i="1"/>
  <c r="AC74" i="1"/>
  <c r="AB75" i="1"/>
  <c r="AC75" i="1"/>
  <c r="AB76" i="1"/>
  <c r="AC76" i="1"/>
  <c r="AK65" i="1"/>
  <c r="AJ65" i="1"/>
  <c r="BD19" i="1"/>
  <c r="BC19" i="1"/>
  <c r="BB19" i="1"/>
  <c r="BO4" i="1"/>
  <c r="BO6" i="1"/>
  <c r="BO5" i="1"/>
  <c r="BO3" i="1"/>
  <c r="BB51" i="1"/>
  <c r="BB48" i="1"/>
  <c r="C11" i="12"/>
  <c r="C10" i="12"/>
  <c r="C29" i="13"/>
  <c r="D32" i="13"/>
  <c r="R9" i="13" s="1"/>
  <c r="Q10" i="13" l="1"/>
  <c r="S10" i="13" s="1"/>
  <c r="C33" i="13" s="1"/>
  <c r="Z65" i="1"/>
  <c r="AJ19" i="1"/>
  <c r="AQ19" i="1"/>
  <c r="AK19" i="1"/>
  <c r="AR19" i="1"/>
  <c r="Z68" i="1"/>
  <c r="Y65" i="1"/>
  <c r="Z73" i="1"/>
  <c r="Z76" i="1"/>
  <c r="Z72" i="1"/>
  <c r="Z69" i="1"/>
  <c r="Z70" i="1"/>
  <c r="Z66" i="1"/>
  <c r="Z71" i="1"/>
  <c r="Z75" i="1"/>
  <c r="Z67" i="1"/>
  <c r="Z74" i="1"/>
  <c r="BB53" i="1"/>
  <c r="BB54" i="1" s="1"/>
  <c r="BC155" i="1"/>
  <c r="AG104" i="1"/>
  <c r="Y66" i="1"/>
  <c r="Y76" i="1"/>
  <c r="Y71" i="1"/>
  <c r="Y74" i="1"/>
  <c r="F45" i="1"/>
  <c r="Y70" i="1"/>
  <c r="Y73" i="1"/>
  <c r="Y72" i="1"/>
  <c r="Y75" i="1"/>
  <c r="Y69" i="1"/>
  <c r="Y68" i="1"/>
  <c r="Y67" i="1"/>
  <c r="BO7" i="1"/>
  <c r="BO8" i="1" s="1"/>
  <c r="T9" i="13"/>
  <c r="S9" i="13"/>
  <c r="R10" i="13"/>
  <c r="T10" i="13" s="1"/>
  <c r="D33" i="13" l="1"/>
  <c r="D34" i="13" s="1"/>
  <c r="C34" i="13"/>
  <c r="BC104" i="1"/>
  <c r="BC108" i="1" s="1"/>
  <c r="BC126" i="1" s="1"/>
  <c r="BM104" i="1"/>
  <c r="BL104" i="1"/>
  <c r="BL108" i="1" s="1"/>
  <c r="BL126" i="1" s="1"/>
  <c r="BB104" i="1"/>
  <c r="BC156" i="1"/>
  <c r="DD359" i="11"/>
  <c r="DD357" i="11" s="1"/>
  <c r="DD356" i="11" s="1"/>
  <c r="DD355" i="11" s="1"/>
  <c r="DD354" i="11" s="1"/>
  <c r="DD353" i="11" s="1"/>
  <c r="DD352" i="11" s="1"/>
  <c r="DD351" i="11" s="1"/>
  <c r="DD350" i="11" s="1"/>
  <c r="DD349" i="11" s="1"/>
  <c r="DD348" i="11" s="1"/>
  <c r="DD347" i="11" s="1"/>
  <c r="DD346" i="11" s="1"/>
  <c r="DD345" i="11" s="1"/>
  <c r="DD344" i="11" s="1"/>
  <c r="DD343" i="11" s="1"/>
  <c r="DD342" i="11" s="1"/>
  <c r="DD341" i="11" s="1"/>
  <c r="DD340" i="11" s="1"/>
  <c r="DD339" i="11" s="1"/>
  <c r="DD338" i="11" s="1"/>
  <c r="DD337" i="11" s="1"/>
  <c r="DD336" i="11" s="1"/>
  <c r="DD335" i="11" s="1"/>
  <c r="DD334" i="11" s="1"/>
  <c r="DD333" i="11" s="1"/>
  <c r="DD332" i="11" s="1"/>
  <c r="BO9" i="1"/>
  <c r="BO10" i="1" s="1"/>
  <c r="C35" i="13" l="1"/>
  <c r="B64" i="12" s="1"/>
  <c r="B63" i="12"/>
  <c r="BC106" i="1"/>
  <c r="BL105" i="1"/>
  <c r="BB105" i="1"/>
  <c r="BB108" i="1"/>
  <c r="BB126" i="1" s="1"/>
  <c r="BL106" i="1"/>
  <c r="BB106" i="1"/>
  <c r="BM108" i="1"/>
  <c r="BM126" i="1" s="1"/>
  <c r="BM106" i="1"/>
  <c r="BM105" i="1"/>
  <c r="BC105" i="1"/>
  <c r="BC157" i="1"/>
  <c r="BC158" i="1" l="1"/>
  <c r="O134" i="1"/>
  <c r="R145" i="1"/>
  <c r="R135" i="1"/>
  <c r="R136" i="1"/>
  <c r="R137" i="1"/>
  <c r="R138" i="1"/>
  <c r="R139" i="1"/>
  <c r="R140" i="1"/>
  <c r="R141" i="1"/>
  <c r="R142" i="1"/>
  <c r="R143" i="1"/>
  <c r="R144" i="1"/>
  <c r="R134" i="1"/>
  <c r="U135" i="1"/>
  <c r="U136" i="1"/>
  <c r="U137" i="1"/>
  <c r="U138" i="1"/>
  <c r="U139" i="1"/>
  <c r="U140" i="1"/>
  <c r="U141" i="1"/>
  <c r="U142" i="1"/>
  <c r="U143" i="1"/>
  <c r="U144" i="1"/>
  <c r="U145" i="1"/>
  <c r="U134" i="1"/>
  <c r="V146" i="1"/>
  <c r="S146" i="1"/>
  <c r="P146" i="1"/>
  <c r="M146" i="1"/>
  <c r="P171" i="1"/>
  <c r="M171" i="1"/>
  <c r="J171" i="1"/>
  <c r="P120" i="1"/>
  <c r="M120" i="1"/>
  <c r="P97" i="1"/>
  <c r="M97" i="1"/>
  <c r="J97" i="1"/>
  <c r="P75" i="1"/>
  <c r="M75" i="1"/>
  <c r="P57" i="1"/>
  <c r="M57" i="1"/>
  <c r="J57" i="1"/>
  <c r="BC78" i="1"/>
  <c r="BB78" i="1"/>
  <c r="AC57" i="1"/>
  <c r="AB57" i="1"/>
  <c r="P31" i="1"/>
  <c r="J31" i="1"/>
  <c r="M31" i="1"/>
  <c r="AM131" i="1"/>
  <c r="AO131" i="1"/>
  <c r="AM132" i="1"/>
  <c r="AO132" i="1"/>
  <c r="AM133" i="1"/>
  <c r="AO133" i="1"/>
  <c r="AM134" i="1"/>
  <c r="AO134" i="1"/>
  <c r="AM135" i="1"/>
  <c r="AO135" i="1"/>
  <c r="AM136" i="1"/>
  <c r="AO136" i="1"/>
  <c r="AM137" i="1"/>
  <c r="AO137" i="1"/>
  <c r="AM138" i="1"/>
  <c r="AO138" i="1"/>
  <c r="AM139" i="1"/>
  <c r="AO139" i="1"/>
  <c r="AM140" i="1"/>
  <c r="AO140" i="1"/>
  <c r="AM141" i="1"/>
  <c r="AO141" i="1"/>
  <c r="AO130" i="1"/>
  <c r="AM130" i="1"/>
  <c r="AM129" i="1"/>
  <c r="AC45" i="1"/>
  <c r="AK45" i="1" s="1"/>
  <c r="AC46" i="1"/>
  <c r="AK46" i="1" s="1"/>
  <c r="AC47" i="1"/>
  <c r="AK47" i="1" s="1"/>
  <c r="AC48" i="1"/>
  <c r="AK48" i="1" s="1"/>
  <c r="AC49" i="1"/>
  <c r="AK49" i="1" s="1"/>
  <c r="AC50" i="1"/>
  <c r="AK50" i="1" s="1"/>
  <c r="AC51" i="1"/>
  <c r="AK51" i="1" s="1"/>
  <c r="AC52" i="1"/>
  <c r="AK52" i="1" s="1"/>
  <c r="AC53" i="1"/>
  <c r="AK53" i="1" s="1"/>
  <c r="AC54" i="1"/>
  <c r="AK54" i="1" s="1"/>
  <c r="AB45" i="1"/>
  <c r="AJ45" i="1" s="1"/>
  <c r="AB46" i="1"/>
  <c r="AJ46" i="1" s="1"/>
  <c r="AB47" i="1"/>
  <c r="AJ47" i="1" s="1"/>
  <c r="AB48" i="1"/>
  <c r="AJ48" i="1" s="1"/>
  <c r="AB49" i="1"/>
  <c r="AJ49" i="1" s="1"/>
  <c r="AB50" i="1"/>
  <c r="AJ50" i="1" s="1"/>
  <c r="AB51" i="1"/>
  <c r="AJ51" i="1" s="1"/>
  <c r="AB52" i="1"/>
  <c r="AJ52" i="1" s="1"/>
  <c r="AB53" i="1"/>
  <c r="AJ53" i="1" s="1"/>
  <c r="AB54" i="1"/>
  <c r="AJ54" i="1" s="1"/>
  <c r="AB55" i="1"/>
  <c r="AJ55" i="1" s="1"/>
  <c r="BH16" i="1"/>
  <c r="BI16" i="1" s="1"/>
  <c r="BH15" i="1"/>
  <c r="BI15" i="1" s="1"/>
  <c r="BC159" i="1" l="1"/>
  <c r="AJ72" i="1"/>
  <c r="AK75" i="1"/>
  <c r="AK67" i="1"/>
  <c r="AK66" i="1"/>
  <c r="AK74" i="1"/>
  <c r="AK73" i="1"/>
  <c r="AJ69" i="1"/>
  <c r="AK72" i="1"/>
  <c r="AJ76" i="1"/>
  <c r="AJ68" i="1"/>
  <c r="AK71" i="1"/>
  <c r="AJ75" i="1"/>
  <c r="AJ67" i="1"/>
  <c r="AK70" i="1"/>
  <c r="AJ71" i="1"/>
  <c r="AJ70" i="1"/>
  <c r="AJ74" i="1"/>
  <c r="AJ66" i="1"/>
  <c r="AK69" i="1"/>
  <c r="AJ73" i="1"/>
  <c r="AK76" i="1"/>
  <c r="AK68" i="1"/>
  <c r="U146" i="1"/>
  <c r="R146" i="1"/>
  <c r="AC77" i="1"/>
  <c r="AC78" i="1" s="1"/>
  <c r="AB77" i="1"/>
  <c r="AB78" i="1" s="1"/>
  <c r="BH24" i="1"/>
  <c r="BI24" i="1" s="1"/>
  <c r="BJ24" i="1" s="1"/>
  <c r="BK24" i="1" s="1"/>
  <c r="BH30" i="1"/>
  <c r="BI30" i="1" s="1"/>
  <c r="BJ30" i="1" s="1"/>
  <c r="BK30" i="1" s="1"/>
  <c r="BH23" i="1"/>
  <c r="BI23" i="1" s="1"/>
  <c r="BJ23" i="1" s="1"/>
  <c r="BK23" i="1" s="1"/>
  <c r="BH21" i="1"/>
  <c r="BI21" i="1" s="1"/>
  <c r="BJ21" i="1" s="1"/>
  <c r="BK21" i="1" s="1"/>
  <c r="BH29" i="1"/>
  <c r="BI29" i="1" s="1"/>
  <c r="BJ29" i="1" s="1"/>
  <c r="BK29" i="1" s="1"/>
  <c r="BH27" i="1"/>
  <c r="BI27" i="1" s="1"/>
  <c r="BJ27" i="1" s="1"/>
  <c r="BK27" i="1" s="1"/>
  <c r="BH19" i="1"/>
  <c r="BH26" i="1"/>
  <c r="BI26" i="1" s="1"/>
  <c r="BJ26" i="1" s="1"/>
  <c r="BK26" i="1" s="1"/>
  <c r="BH28" i="1"/>
  <c r="BI28" i="1" s="1"/>
  <c r="BJ28" i="1" s="1"/>
  <c r="BK28" i="1" s="1"/>
  <c r="BH25" i="1"/>
  <c r="BI25" i="1" s="1"/>
  <c r="BJ25" i="1" s="1"/>
  <c r="BK25" i="1" s="1"/>
  <c r="BH22" i="1"/>
  <c r="BI22" i="1" s="1"/>
  <c r="BJ22" i="1" s="1"/>
  <c r="BK22" i="1" s="1"/>
  <c r="BH20" i="1"/>
  <c r="BI20" i="1" s="1"/>
  <c r="BJ20" i="1" s="1"/>
  <c r="BK20" i="1" s="1"/>
  <c r="AJ25" i="1" l="1"/>
  <c r="AQ25" i="1"/>
  <c r="AJ23" i="1"/>
  <c r="AQ23" i="1"/>
  <c r="AK22" i="1"/>
  <c r="AR22" i="1"/>
  <c r="AK24" i="1"/>
  <c r="AR24" i="1"/>
  <c r="AK27" i="1"/>
  <c r="AR27" i="1"/>
  <c r="AK30" i="1"/>
  <c r="AR30" i="1"/>
  <c r="AJ21" i="1"/>
  <c r="AQ21" i="1"/>
  <c r="AK28" i="1"/>
  <c r="AR28" i="1"/>
  <c r="AJ27" i="1"/>
  <c r="AQ27" i="1"/>
  <c r="AJ29" i="1"/>
  <c r="AQ29" i="1"/>
  <c r="AK20" i="1"/>
  <c r="AR20" i="1"/>
  <c r="AK23" i="1"/>
  <c r="AR23" i="1"/>
  <c r="AK25" i="1"/>
  <c r="AR25" i="1"/>
  <c r="AK21" i="1"/>
  <c r="AR21" i="1"/>
  <c r="AJ20" i="1"/>
  <c r="AQ20" i="1"/>
  <c r="AK29" i="1"/>
  <c r="AR29" i="1"/>
  <c r="AJ28" i="1"/>
  <c r="AQ28" i="1"/>
  <c r="AJ30" i="1"/>
  <c r="AQ30" i="1"/>
  <c r="AJ26" i="1"/>
  <c r="AQ26" i="1"/>
  <c r="AJ22" i="1"/>
  <c r="AQ22" i="1"/>
  <c r="AJ24" i="1"/>
  <c r="AQ24" i="1"/>
  <c r="AK26" i="1"/>
  <c r="AR26" i="1"/>
  <c r="BC160" i="1"/>
  <c r="AJ56" i="1"/>
  <c r="BN43" i="1" s="1"/>
  <c r="AJ77" i="1"/>
  <c r="AJ78" i="1" s="1"/>
  <c r="AJ32" i="1" s="1"/>
  <c r="AK56" i="1"/>
  <c r="AK77" i="1"/>
  <c r="AK78" i="1" s="1"/>
  <c r="AK32" i="1" s="1"/>
  <c r="BI19" i="1"/>
  <c r="BJ19" i="1" s="1"/>
  <c r="BK19" i="1" s="1"/>
  <c r="BK31" i="1" s="1"/>
  <c r="BD170" i="1" s="1"/>
  <c r="AJ31" i="1" l="1"/>
  <c r="AK31" i="1"/>
  <c r="AR31" i="1"/>
  <c r="AQ31" i="1"/>
  <c r="AR57" i="1"/>
  <c r="BO43" i="1"/>
  <c r="AJ57" i="1"/>
  <c r="AQ57" i="1"/>
  <c r="BC161" i="1"/>
  <c r="BE43" i="1"/>
  <c r="AK57" i="1"/>
  <c r="BF43" i="1"/>
  <c r="AD153" i="1"/>
  <c r="AD154" i="1"/>
  <c r="AD155" i="1"/>
  <c r="AD156" i="1"/>
  <c r="AD157" i="1"/>
  <c r="AD158" i="1"/>
  <c r="AD159" i="1"/>
  <c r="AD160" i="1"/>
  <c r="AD161" i="1"/>
  <c r="AD162" i="1"/>
  <c r="AD163" i="1"/>
  <c r="AD152" i="1"/>
  <c r="AB153" i="1"/>
  <c r="AB154" i="1"/>
  <c r="AB155" i="1"/>
  <c r="AB156" i="1"/>
  <c r="AB157" i="1"/>
  <c r="AB158" i="1"/>
  <c r="AB159" i="1"/>
  <c r="AB160" i="1"/>
  <c r="AB161" i="1"/>
  <c r="AB162" i="1"/>
  <c r="AB163" i="1"/>
  <c r="O108" i="1"/>
  <c r="AD105" i="1" s="1"/>
  <c r="L108" i="1"/>
  <c r="I108" i="1"/>
  <c r="Y105" i="1" s="1"/>
  <c r="AA102" i="1"/>
  <c r="AH102" i="1" s="1"/>
  <c r="G155" i="1"/>
  <c r="EI45" i="1" s="1"/>
  <c r="G154" i="1"/>
  <c r="F159" i="1" s="1"/>
  <c r="AG131" i="1"/>
  <c r="AG132" i="1"/>
  <c r="AG133" i="1"/>
  <c r="AG134" i="1"/>
  <c r="AG135" i="1"/>
  <c r="AG136" i="1"/>
  <c r="AG137" i="1"/>
  <c r="AG138" i="1"/>
  <c r="AG139" i="1"/>
  <c r="AG140" i="1"/>
  <c r="AG141" i="1"/>
  <c r="AG130" i="1"/>
  <c r="AN129" i="1"/>
  <c r="AL129" i="1"/>
  <c r="AK129" i="1"/>
  <c r="AK130" i="1" s="1"/>
  <c r="AE130" i="1" s="1"/>
  <c r="AP129" i="1"/>
  <c r="AQ129" i="1"/>
  <c r="AR129" i="1"/>
  <c r="AS129" i="1"/>
  <c r="AT129" i="1"/>
  <c r="AU129" i="1"/>
  <c r="AO129" i="1"/>
  <c r="Y130" i="1" s="1"/>
  <c r="G130" i="1"/>
  <c r="EI42" i="1" s="1"/>
  <c r="G129" i="1"/>
  <c r="G104" i="1"/>
  <c r="EI39" i="1" s="1"/>
  <c r="G103" i="1"/>
  <c r="F108" i="1" s="1"/>
  <c r="G81" i="1"/>
  <c r="EI35" i="1" s="1"/>
  <c r="EI36" i="1" s="1"/>
  <c r="G80" i="1"/>
  <c r="EI31" i="1"/>
  <c r="G40" i="1"/>
  <c r="I135" i="1"/>
  <c r="I136" i="1"/>
  <c r="I137" i="1"/>
  <c r="I138" i="1"/>
  <c r="I139" i="1"/>
  <c r="I140" i="1"/>
  <c r="I141" i="1"/>
  <c r="I142" i="1"/>
  <c r="I143" i="1"/>
  <c r="I144" i="1"/>
  <c r="I145" i="1"/>
  <c r="I134" i="1"/>
  <c r="L135" i="1"/>
  <c r="L136" i="1"/>
  <c r="L137" i="1"/>
  <c r="L138" i="1"/>
  <c r="L139" i="1"/>
  <c r="L140" i="1"/>
  <c r="L141" i="1"/>
  <c r="L142" i="1"/>
  <c r="L143" i="1"/>
  <c r="AS139" i="1" s="1"/>
  <c r="L144" i="1"/>
  <c r="AS140" i="1" s="1"/>
  <c r="L145" i="1"/>
  <c r="AS141" i="1" s="1"/>
  <c r="AC141" i="1" s="1"/>
  <c r="L134" i="1"/>
  <c r="AS130" i="1" s="1"/>
  <c r="O135" i="1"/>
  <c r="AK131" i="1" s="1"/>
  <c r="O136" i="1"/>
  <c r="O137" i="1"/>
  <c r="O138" i="1"/>
  <c r="O139" i="1"/>
  <c r="O140" i="1"/>
  <c r="O141" i="1"/>
  <c r="O142" i="1"/>
  <c r="O143" i="1"/>
  <c r="AK139" i="1" s="1"/>
  <c r="O144" i="1"/>
  <c r="O145" i="1"/>
  <c r="I109" i="1"/>
  <c r="I110" i="1"/>
  <c r="I111" i="1"/>
  <c r="I112" i="1"/>
  <c r="I113" i="1"/>
  <c r="I114" i="1"/>
  <c r="I115" i="1"/>
  <c r="I116" i="1"/>
  <c r="I117" i="1"/>
  <c r="I118" i="1"/>
  <c r="I119" i="1"/>
  <c r="L109" i="1"/>
  <c r="L110" i="1"/>
  <c r="L111" i="1"/>
  <c r="L112" i="1"/>
  <c r="L113" i="1"/>
  <c r="L114" i="1"/>
  <c r="L115" i="1"/>
  <c r="L116" i="1"/>
  <c r="L117" i="1"/>
  <c r="L118" i="1"/>
  <c r="L119" i="1"/>
  <c r="O109" i="1"/>
  <c r="AD106" i="1" s="1"/>
  <c r="O110" i="1"/>
  <c r="O111" i="1"/>
  <c r="AD108" i="1" s="1"/>
  <c r="O112" i="1"/>
  <c r="O113" i="1"/>
  <c r="O114" i="1"/>
  <c r="O115" i="1"/>
  <c r="O116" i="1"/>
  <c r="O117" i="1"/>
  <c r="AD114" i="1" s="1"/>
  <c r="O118" i="1"/>
  <c r="O119" i="1"/>
  <c r="AD116" i="1" s="1"/>
  <c r="AS138" i="1" l="1"/>
  <c r="AS134" i="1"/>
  <c r="AS133" i="1"/>
  <c r="AS137" i="1"/>
  <c r="AS135" i="1"/>
  <c r="AS132" i="1"/>
  <c r="AC132" i="1" s="1"/>
  <c r="AS131" i="1"/>
  <c r="AK138" i="1"/>
  <c r="AS136" i="1"/>
  <c r="AC136" i="1" s="1"/>
  <c r="AK135" i="1"/>
  <c r="AK134" i="1"/>
  <c r="AR132" i="1"/>
  <c r="AB132" i="1" s="1"/>
  <c r="AR140" i="1"/>
  <c r="AB140" i="1" s="1"/>
  <c r="AR136" i="1"/>
  <c r="AB136" i="1" s="1"/>
  <c r="AR139" i="1"/>
  <c r="AB139" i="1" s="1"/>
  <c r="AR135" i="1"/>
  <c r="AB135" i="1" s="1"/>
  <c r="AR138" i="1"/>
  <c r="AB138" i="1" s="1"/>
  <c r="AR131" i="1"/>
  <c r="AB131" i="1" s="1"/>
  <c r="AR133" i="1"/>
  <c r="AB133" i="1" s="1"/>
  <c r="AR141" i="1"/>
  <c r="AB141" i="1" s="1"/>
  <c r="AR130" i="1"/>
  <c r="AB130" i="1" s="1"/>
  <c r="AR134" i="1"/>
  <c r="AB134" i="1" s="1"/>
  <c r="AR137" i="1"/>
  <c r="AB137" i="1" s="1"/>
  <c r="AK136" i="1"/>
  <c r="AK141" i="1"/>
  <c r="AK133" i="1"/>
  <c r="AK137" i="1"/>
  <c r="AK140" i="1"/>
  <c r="AK132" i="1"/>
  <c r="AR45" i="1"/>
  <c r="AR53" i="1"/>
  <c r="AR50" i="1"/>
  <c r="AR47" i="1"/>
  <c r="AR55" i="1"/>
  <c r="AR52" i="1"/>
  <c r="AR48" i="1"/>
  <c r="AR49" i="1"/>
  <c r="AR44" i="1"/>
  <c r="AR46" i="1"/>
  <c r="AR54" i="1"/>
  <c r="AR51" i="1"/>
  <c r="AD112" i="1"/>
  <c r="AD115" i="1"/>
  <c r="AD107" i="1"/>
  <c r="AD113" i="1"/>
  <c r="AD111" i="1"/>
  <c r="AD110" i="1"/>
  <c r="AD109" i="1"/>
  <c r="BF42" i="1"/>
  <c r="BO42" i="1"/>
  <c r="BE42" i="1"/>
  <c r="BN42" i="1"/>
  <c r="AT132" i="1"/>
  <c r="AD132" i="1" s="1"/>
  <c r="AT140" i="1"/>
  <c r="AD140" i="1" s="1"/>
  <c r="AT139" i="1"/>
  <c r="AD139" i="1" s="1"/>
  <c r="AT138" i="1"/>
  <c r="AD138" i="1" s="1"/>
  <c r="AT137" i="1"/>
  <c r="AD137" i="1" s="1"/>
  <c r="AT136" i="1"/>
  <c r="AD136" i="1" s="1"/>
  <c r="AT135" i="1"/>
  <c r="AD135" i="1" s="1"/>
  <c r="AT134" i="1"/>
  <c r="AD134" i="1" s="1"/>
  <c r="AT141" i="1"/>
  <c r="AD141" i="1" s="1"/>
  <c r="AT133" i="1"/>
  <c r="AD133" i="1" s="1"/>
  <c r="AQ131" i="1"/>
  <c r="AA131" i="1" s="1"/>
  <c r="AQ139" i="1"/>
  <c r="AA139" i="1" s="1"/>
  <c r="AQ136" i="1"/>
  <c r="AA136" i="1" s="1"/>
  <c r="AQ133" i="1"/>
  <c r="AA133" i="1" s="1"/>
  <c r="AQ141" i="1"/>
  <c r="AA141" i="1" s="1"/>
  <c r="AQ137" i="1"/>
  <c r="AA137" i="1" s="1"/>
  <c r="AQ134" i="1"/>
  <c r="AA134" i="1" s="1"/>
  <c r="AQ138" i="1"/>
  <c r="AA138" i="1" s="1"/>
  <c r="AQ135" i="1"/>
  <c r="AA135" i="1" s="1"/>
  <c r="AQ132" i="1"/>
  <c r="AA132" i="1" s="1"/>
  <c r="AQ140" i="1"/>
  <c r="AA140" i="1" s="1"/>
  <c r="AQ130" i="1"/>
  <c r="AA130" i="1" s="1"/>
  <c r="AT130" i="1"/>
  <c r="AD130" i="1" s="1"/>
  <c r="I146" i="1"/>
  <c r="BC162" i="1"/>
  <c r="AD164" i="1"/>
  <c r="Y164" i="1"/>
  <c r="AB152" i="1"/>
  <c r="AB164" i="1" s="1"/>
  <c r="Z105" i="1"/>
  <c r="AG105" i="1" s="1"/>
  <c r="BM109" i="1" s="1"/>
  <c r="AA104" i="1"/>
  <c r="AN131" i="1"/>
  <c r="AH131" i="1" s="1"/>
  <c r="AT131" i="1"/>
  <c r="AD131" i="1" s="1"/>
  <c r="AN130" i="1"/>
  <c r="AH130" i="1" s="1"/>
  <c r="AN136" i="1"/>
  <c r="AH136" i="1" s="1"/>
  <c r="AN141" i="1"/>
  <c r="AH141" i="1" s="1"/>
  <c r="AN133" i="1"/>
  <c r="AH133" i="1" s="1"/>
  <c r="AN140" i="1"/>
  <c r="AH140" i="1" s="1"/>
  <c r="AN132" i="1"/>
  <c r="AH132" i="1" s="1"/>
  <c r="AN138" i="1"/>
  <c r="AH138" i="1" s="1"/>
  <c r="AC137" i="1"/>
  <c r="AN137" i="1"/>
  <c r="AH137" i="1" s="1"/>
  <c r="AC135" i="1"/>
  <c r="AN135" i="1"/>
  <c r="AH135" i="1" s="1"/>
  <c r="AC134" i="1"/>
  <c r="AN134" i="1"/>
  <c r="AH134" i="1" s="1"/>
  <c r="AC139" i="1"/>
  <c r="AN139" i="1"/>
  <c r="AH139" i="1" s="1"/>
  <c r="O146" i="1"/>
  <c r="L146" i="1"/>
  <c r="I171" i="1"/>
  <c r="O171" i="1"/>
  <c r="L171" i="1"/>
  <c r="O120" i="1"/>
  <c r="I120" i="1"/>
  <c r="L120" i="1"/>
  <c r="AL133" i="1"/>
  <c r="AL137" i="1"/>
  <c r="AL141" i="1"/>
  <c r="AL136" i="1"/>
  <c r="AL134" i="1"/>
  <c r="AL138" i="1"/>
  <c r="AL130" i="1"/>
  <c r="AF130" i="1" s="1"/>
  <c r="AL132" i="1"/>
  <c r="AL140" i="1"/>
  <c r="AL131" i="1"/>
  <c r="AL135" i="1"/>
  <c r="AL139" i="1"/>
  <c r="AG142" i="1"/>
  <c r="AU132" i="1"/>
  <c r="AU136" i="1"/>
  <c r="AU140" i="1"/>
  <c r="AU130" i="1"/>
  <c r="AU133" i="1"/>
  <c r="AU137" i="1"/>
  <c r="AU141" i="1"/>
  <c r="AU134" i="1"/>
  <c r="AU138" i="1"/>
  <c r="AU131" i="1"/>
  <c r="AU135" i="1"/>
  <c r="AU139" i="1"/>
  <c r="AP131" i="1"/>
  <c r="Z131" i="1" s="1"/>
  <c r="AP135" i="1"/>
  <c r="Z135" i="1" s="1"/>
  <c r="AP139" i="1"/>
  <c r="Z139" i="1" s="1"/>
  <c r="AP132" i="1"/>
  <c r="Z132" i="1" s="1"/>
  <c r="AP136" i="1"/>
  <c r="Z136" i="1" s="1"/>
  <c r="AP140" i="1"/>
  <c r="Z140" i="1" s="1"/>
  <c r="AP130" i="1"/>
  <c r="Z130" i="1" s="1"/>
  <c r="AP134" i="1"/>
  <c r="Z134" i="1" s="1"/>
  <c r="AP138" i="1"/>
  <c r="Z138" i="1" s="1"/>
  <c r="AP133" i="1"/>
  <c r="Z133" i="1" s="1"/>
  <c r="AP137" i="1"/>
  <c r="Z137" i="1" s="1"/>
  <c r="AP141" i="1"/>
  <c r="Z141" i="1" s="1"/>
  <c r="O75" i="1"/>
  <c r="L75" i="1"/>
  <c r="I75" i="1"/>
  <c r="AC130" i="1"/>
  <c r="AC138" i="1"/>
  <c r="AC131" i="1"/>
  <c r="AC140" i="1"/>
  <c r="AC133" i="1"/>
  <c r="Y141" i="1"/>
  <c r="Y140" i="1"/>
  <c r="Y139" i="1"/>
  <c r="Y138" i="1"/>
  <c r="Y137" i="1"/>
  <c r="Y136" i="1"/>
  <c r="Y135" i="1"/>
  <c r="Y134" i="1"/>
  <c r="Y133" i="1"/>
  <c r="Y132" i="1"/>
  <c r="Y131" i="1"/>
  <c r="AR56" i="1" l="1"/>
  <c r="AB165" i="1"/>
  <c r="C152" i="1" s="1"/>
  <c r="BE44" i="1"/>
  <c r="BN44" i="1"/>
  <c r="BF44" i="1"/>
  <c r="BO44" i="1"/>
  <c r="AH104" i="1"/>
  <c r="AA105" i="1"/>
  <c r="BC163" i="1"/>
  <c r="AK164" i="1"/>
  <c r="AA142" i="1"/>
  <c r="Y142" i="1"/>
  <c r="AC142" i="1"/>
  <c r="AD142" i="1"/>
  <c r="AH142" i="1"/>
  <c r="CK11" i="1" s="1"/>
  <c r="G37" i="12" s="1"/>
  <c r="AB142" i="1"/>
  <c r="Z142" i="1"/>
  <c r="AA77" i="1"/>
  <c r="AA78" i="1" s="1"/>
  <c r="Z77" i="1"/>
  <c r="Z78" i="1" s="1"/>
  <c r="Y77" i="1"/>
  <c r="AA106" i="1"/>
  <c r="AA114" i="1"/>
  <c r="AA107" i="1"/>
  <c r="AA115" i="1"/>
  <c r="AA111" i="1"/>
  <c r="AA108" i="1"/>
  <c r="AA116" i="1"/>
  <c r="AA109" i="1"/>
  <c r="AA110" i="1"/>
  <c r="AA112" i="1"/>
  <c r="AA113" i="1"/>
  <c r="Z107" i="1"/>
  <c r="AG107" i="1" s="1"/>
  <c r="BM111" i="1" s="1"/>
  <c r="Z114" i="1"/>
  <c r="AG114" i="1" s="1"/>
  <c r="BM118" i="1" s="1"/>
  <c r="Z113" i="1"/>
  <c r="AG113" i="1" s="1"/>
  <c r="BM117" i="1" s="1"/>
  <c r="Z116" i="1"/>
  <c r="AG116" i="1" s="1"/>
  <c r="BM120" i="1" s="1"/>
  <c r="Z115" i="1"/>
  <c r="AG115" i="1" s="1"/>
  <c r="BM119" i="1" s="1"/>
  <c r="Z111" i="1"/>
  <c r="AG111" i="1" s="1"/>
  <c r="BM115" i="1" s="1"/>
  <c r="Z109" i="1"/>
  <c r="AG109" i="1" s="1"/>
  <c r="BM113" i="1" s="1"/>
  <c r="Z106" i="1"/>
  <c r="AG106" i="1" s="1"/>
  <c r="BM110" i="1" s="1"/>
  <c r="Z110" i="1"/>
  <c r="AG110" i="1" s="1"/>
  <c r="BM114" i="1" s="1"/>
  <c r="Z112" i="1"/>
  <c r="AG112" i="1" s="1"/>
  <c r="BM116" i="1" s="1"/>
  <c r="Z108" i="1"/>
  <c r="AG108" i="1" s="1"/>
  <c r="BM112" i="1" s="1"/>
  <c r="Y107" i="1"/>
  <c r="Y110" i="1"/>
  <c r="Y108" i="1"/>
  <c r="Y109" i="1"/>
  <c r="Y112" i="1"/>
  <c r="Y115" i="1"/>
  <c r="Y114" i="1"/>
  <c r="Y116" i="1"/>
  <c r="Y111" i="1"/>
  <c r="Y113" i="1"/>
  <c r="Y106" i="1"/>
  <c r="P84" i="1"/>
  <c r="O85" i="1" s="1"/>
  <c r="M84" i="1"/>
  <c r="J84" i="1"/>
  <c r="I85" i="1" s="1"/>
  <c r="C47" i="12" l="1"/>
  <c r="BM121" i="1"/>
  <c r="BM122" i="1" s="1"/>
  <c r="BN104" i="1"/>
  <c r="BD104" i="1"/>
  <c r="BD108" i="1" s="1"/>
  <c r="BD126" i="1" s="1"/>
  <c r="Z117" i="1"/>
  <c r="Z118" i="1" s="1"/>
  <c r="Y82" i="1"/>
  <c r="BC164" i="1"/>
  <c r="AB105" i="1"/>
  <c r="AB106" i="1"/>
  <c r="AB115" i="1"/>
  <c r="AB112" i="1"/>
  <c r="AB114" i="1"/>
  <c r="AB116" i="1"/>
  <c r="AB113" i="1"/>
  <c r="AB108" i="1"/>
  <c r="AB107" i="1"/>
  <c r="AB110" i="1"/>
  <c r="AB111" i="1"/>
  <c r="AA117" i="1"/>
  <c r="AA118" i="1" s="1"/>
  <c r="AB109" i="1"/>
  <c r="O92" i="1"/>
  <c r="O93" i="1"/>
  <c r="O96" i="1"/>
  <c r="O90" i="1"/>
  <c r="O86" i="1"/>
  <c r="O94" i="1"/>
  <c r="O88" i="1"/>
  <c r="O87" i="1"/>
  <c r="O95" i="1"/>
  <c r="O89" i="1"/>
  <c r="O91" i="1"/>
  <c r="I92" i="1"/>
  <c r="I93" i="1"/>
  <c r="I96" i="1"/>
  <c r="I86" i="1"/>
  <c r="I94" i="1"/>
  <c r="I90" i="1"/>
  <c r="I87" i="1"/>
  <c r="I95" i="1"/>
  <c r="I88" i="1"/>
  <c r="I89" i="1"/>
  <c r="I91" i="1"/>
  <c r="L88" i="1"/>
  <c r="L96" i="1"/>
  <c r="L92" i="1"/>
  <c r="L86" i="1"/>
  <c r="L89" i="1"/>
  <c r="L85" i="1"/>
  <c r="L90" i="1"/>
  <c r="L91" i="1"/>
  <c r="L93" i="1"/>
  <c r="L94" i="1"/>
  <c r="L87" i="1"/>
  <c r="L95" i="1"/>
  <c r="J44" i="1"/>
  <c r="I45" i="1" s="1"/>
  <c r="Y44" i="1" s="1"/>
  <c r="P44" i="1"/>
  <c r="M44" i="1"/>
  <c r="P18" i="1"/>
  <c r="O19" i="1" s="1"/>
  <c r="M18" i="1"/>
  <c r="J18" i="1"/>
  <c r="I19" i="1" s="1"/>
  <c r="Y19" i="1" s="1"/>
  <c r="L26" i="1" l="1"/>
  <c r="L19" i="1"/>
  <c r="Z19" i="1" s="1"/>
  <c r="O52" i="1"/>
  <c r="O45" i="1"/>
  <c r="O53" i="1"/>
  <c r="O55" i="1"/>
  <c r="O56" i="1"/>
  <c r="O46" i="1"/>
  <c r="O54" i="1"/>
  <c r="O49" i="1"/>
  <c r="O51" i="1"/>
  <c r="O47" i="1"/>
  <c r="O50" i="1"/>
  <c r="O48" i="1"/>
  <c r="L50" i="1"/>
  <c r="L45" i="1"/>
  <c r="L53" i="1"/>
  <c r="L56" i="1"/>
  <c r="L49" i="1"/>
  <c r="L52" i="1"/>
  <c r="L46" i="1"/>
  <c r="L54" i="1"/>
  <c r="L47" i="1"/>
  <c r="L55" i="1"/>
  <c r="L51" i="1"/>
  <c r="L48" i="1"/>
  <c r="BM128" i="1"/>
  <c r="BM127" i="1"/>
  <c r="BM129" i="1" s="1"/>
  <c r="AG65" i="1"/>
  <c r="AG19" i="1" s="1"/>
  <c r="AG44" i="1"/>
  <c r="BM124" i="1"/>
  <c r="BD105" i="1"/>
  <c r="BM123" i="1"/>
  <c r="BD106" i="1"/>
  <c r="BN108" i="1"/>
  <c r="BN126" i="1" s="1"/>
  <c r="BN106" i="1"/>
  <c r="BN105" i="1"/>
  <c r="BL78" i="1"/>
  <c r="BB79" i="1"/>
  <c r="AC82" i="1"/>
  <c r="AA44" i="1"/>
  <c r="Y93" i="1"/>
  <c r="BL89" i="1" s="1"/>
  <c r="Z82" i="1"/>
  <c r="L97" i="1"/>
  <c r="O97" i="1"/>
  <c r="I97" i="1"/>
  <c r="L22" i="1"/>
  <c r="L30" i="1"/>
  <c r="L23" i="1"/>
  <c r="L24" i="1"/>
  <c r="L25" i="1"/>
  <c r="L20" i="1"/>
  <c r="L28" i="1"/>
  <c r="L21" i="1"/>
  <c r="L29" i="1"/>
  <c r="L27" i="1"/>
  <c r="O26" i="1"/>
  <c r="BB26" i="1" s="1"/>
  <c r="O27" i="1"/>
  <c r="BB27" i="1" s="1"/>
  <c r="O28" i="1"/>
  <c r="BB28" i="1" s="1"/>
  <c r="O20" i="1"/>
  <c r="O21" i="1"/>
  <c r="BB21" i="1" s="1"/>
  <c r="O29" i="1"/>
  <c r="BB29" i="1" s="1"/>
  <c r="O30" i="1"/>
  <c r="O23" i="1"/>
  <c r="BB23" i="1" s="1"/>
  <c r="O22" i="1"/>
  <c r="BB22" i="1" s="1"/>
  <c r="O24" i="1"/>
  <c r="BB24" i="1" s="1"/>
  <c r="O25" i="1"/>
  <c r="BB25" i="1" s="1"/>
  <c r="I52" i="1"/>
  <c r="I53" i="1"/>
  <c r="I48" i="1"/>
  <c r="I46" i="1"/>
  <c r="I54" i="1"/>
  <c r="I56" i="1"/>
  <c r="I47" i="1"/>
  <c r="I55" i="1"/>
  <c r="I50" i="1"/>
  <c r="I49" i="1"/>
  <c r="I51" i="1"/>
  <c r="I20" i="1"/>
  <c r="I28" i="1"/>
  <c r="I22" i="1"/>
  <c r="I30" i="1"/>
  <c r="I23" i="1"/>
  <c r="I24" i="1"/>
  <c r="I25" i="1"/>
  <c r="I21" i="1"/>
  <c r="I26" i="1"/>
  <c r="I27" i="1"/>
  <c r="I29" i="1"/>
  <c r="BB30" i="1"/>
  <c r="F134" i="1"/>
  <c r="EI46" i="1"/>
  <c r="G145" i="1" s="1"/>
  <c r="EI43" i="1"/>
  <c r="DD360" i="11"/>
  <c r="DD361" i="11" s="1"/>
  <c r="DD362" i="11" s="1"/>
  <c r="DD363" i="11" s="1"/>
  <c r="DD364" i="11" s="1"/>
  <c r="DD365" i="11" s="1"/>
  <c r="DD366" i="11" s="1"/>
  <c r="DD367" i="11" s="1"/>
  <c r="DD368" i="11" s="1"/>
  <c r="DD369" i="11" s="1"/>
  <c r="DD370" i="11" s="1"/>
  <c r="DD371" i="11" s="1"/>
  <c r="DD372" i="11" s="1"/>
  <c r="DD373" i="11" s="1"/>
  <c r="DD374" i="11" s="1"/>
  <c r="DD375" i="11" s="1"/>
  <c r="DD376" i="11" s="1"/>
  <c r="DD377" i="11" s="1"/>
  <c r="DD378" i="11" s="1"/>
  <c r="DD379" i="11" s="1"/>
  <c r="DD380" i="11" s="1"/>
  <c r="DD381" i="11" s="1"/>
  <c r="DD382" i="11" s="1"/>
  <c r="DD383" i="11" s="1"/>
  <c r="DD384" i="11" s="1"/>
  <c r="DD385" i="11" s="1"/>
  <c r="DD386" i="11" s="1"/>
  <c r="DD387" i="11" s="1"/>
  <c r="DD388" i="11" s="1"/>
  <c r="DD389" i="11" s="1"/>
  <c r="DD390" i="11" s="1"/>
  <c r="DD391" i="11" s="1"/>
  <c r="DD392" i="11" s="1"/>
  <c r="DD393" i="11" s="1"/>
  <c r="DD394" i="11" s="1"/>
  <c r="DD395" i="11" s="1"/>
  <c r="DD396" i="11" s="1"/>
  <c r="DD397" i="11" s="1"/>
  <c r="DD398" i="11" s="1"/>
  <c r="Z83" i="1"/>
  <c r="BM79" i="1" s="1"/>
  <c r="Z84" i="1"/>
  <c r="BM80" i="1" s="1"/>
  <c r="Z85" i="1"/>
  <c r="BM81" i="1" s="1"/>
  <c r="Z86" i="1"/>
  <c r="BM82" i="1" s="1"/>
  <c r="Z87" i="1"/>
  <c r="BM83" i="1" s="1"/>
  <c r="Z88" i="1"/>
  <c r="BM84" i="1" s="1"/>
  <c r="Z89" i="1"/>
  <c r="BM85" i="1" s="1"/>
  <c r="Z90" i="1"/>
  <c r="BM86" i="1" s="1"/>
  <c r="Z91" i="1"/>
  <c r="BM87" i="1" s="1"/>
  <c r="Z92" i="1"/>
  <c r="BM88" i="1" s="1"/>
  <c r="Z93" i="1"/>
  <c r="BM89" i="1" s="1"/>
  <c r="Y83" i="1"/>
  <c r="BL79" i="1" s="1"/>
  <c r="Y84" i="1"/>
  <c r="BL80" i="1" s="1"/>
  <c r="Y85" i="1"/>
  <c r="BL81" i="1" s="1"/>
  <c r="Y86" i="1"/>
  <c r="BL82" i="1" s="1"/>
  <c r="Y87" i="1"/>
  <c r="BL83" i="1" s="1"/>
  <c r="Y88" i="1"/>
  <c r="BL84" i="1" s="1"/>
  <c r="Y89" i="1"/>
  <c r="BL85" i="1" s="1"/>
  <c r="Y90" i="1"/>
  <c r="BL86" i="1" s="1"/>
  <c r="Y91" i="1"/>
  <c r="BL87" i="1" s="1"/>
  <c r="Y92" i="1"/>
  <c r="BL88" i="1" s="1"/>
  <c r="BB20" i="1"/>
  <c r="R6" i="8"/>
  <c r="R7" i="8"/>
  <c r="R8" i="8"/>
  <c r="R9" i="8"/>
  <c r="R10" i="8"/>
  <c r="R11" i="8"/>
  <c r="R12" i="8"/>
  <c r="R13" i="8"/>
  <c r="R14" i="8"/>
  <c r="R15" i="8"/>
  <c r="R16" i="8"/>
  <c r="R17" i="8"/>
  <c r="R18" i="8"/>
  <c r="R19" i="8"/>
  <c r="R20" i="8"/>
  <c r="R21" i="8"/>
  <c r="R22" i="8"/>
  <c r="R23" i="8"/>
  <c r="R24" i="8"/>
  <c r="R25" i="8"/>
  <c r="R26" i="8"/>
  <c r="R27" i="8"/>
  <c r="R28" i="8"/>
  <c r="R29" i="8"/>
  <c r="R30" i="8"/>
  <c r="R31" i="8"/>
  <c r="R32" i="8"/>
  <c r="R33" i="8"/>
  <c r="R34" i="8"/>
  <c r="R35" i="8"/>
  <c r="R36" i="8"/>
  <c r="R37" i="8"/>
  <c r="R38" i="8"/>
  <c r="R39" i="8"/>
  <c r="R40" i="8"/>
  <c r="R41" i="8"/>
  <c r="R42" i="8"/>
  <c r="R43" i="8"/>
  <c r="R44" i="8"/>
  <c r="R45" i="8"/>
  <c r="R46" i="8"/>
  <c r="R47" i="8"/>
  <c r="R48" i="8"/>
  <c r="R49" i="8"/>
  <c r="R50" i="8"/>
  <c r="R51" i="8"/>
  <c r="R52" i="8"/>
  <c r="R53" i="8"/>
  <c r="R54" i="8"/>
  <c r="R55" i="8"/>
  <c r="R56" i="8"/>
  <c r="R57" i="8"/>
  <c r="R58" i="8"/>
  <c r="R59" i="8"/>
  <c r="R60" i="8"/>
  <c r="R61" i="8"/>
  <c r="R62" i="8"/>
  <c r="R63" i="8"/>
  <c r="R64" i="8"/>
  <c r="R65" i="8"/>
  <c r="R66" i="8"/>
  <c r="R67" i="8"/>
  <c r="R68" i="8"/>
  <c r="R69" i="8"/>
  <c r="R70" i="8"/>
  <c r="R71" i="8"/>
  <c r="R72" i="8"/>
  <c r="R73" i="8"/>
  <c r="R74" i="8"/>
  <c r="R75" i="8"/>
  <c r="R76" i="8"/>
  <c r="R5" i="8"/>
  <c r="F85" i="1"/>
  <c r="EI40" i="1"/>
  <c r="G88" i="1" s="1"/>
  <c r="EI32" i="1"/>
  <c r="EI27" i="1"/>
  <c r="EI28" i="1" s="1"/>
  <c r="G19" i="1" s="1"/>
  <c r="G45" i="1" s="1"/>
  <c r="CR19" i="17" l="1"/>
  <c r="CR20" i="17"/>
  <c r="CR21" i="17"/>
  <c r="CR22" i="17"/>
  <c r="CR23" i="17"/>
  <c r="CR24" i="17"/>
  <c r="CR25" i="17"/>
  <c r="CR26" i="17"/>
  <c r="CR27" i="17"/>
  <c r="CR28" i="17"/>
  <c r="CR29" i="17"/>
  <c r="CR30" i="17"/>
  <c r="Z44" i="1"/>
  <c r="AH44" i="1" s="1"/>
  <c r="AZ19" i="1"/>
  <c r="G27" i="1"/>
  <c r="G26" i="1"/>
  <c r="G28" i="1"/>
  <c r="G25" i="1"/>
  <c r="G30" i="1"/>
  <c r="G21" i="1"/>
  <c r="G20" i="1"/>
  <c r="G24" i="1"/>
  <c r="G23" i="1"/>
  <c r="G22" i="1"/>
  <c r="G29" i="1"/>
  <c r="BN82" i="1"/>
  <c r="BN81" i="1"/>
  <c r="BN83" i="1"/>
  <c r="BN80" i="1"/>
  <c r="BN87" i="1"/>
  <c r="BN88" i="1"/>
  <c r="BN79" i="1"/>
  <c r="BC79" i="1"/>
  <c r="BM78" i="1"/>
  <c r="BM90" i="1" s="1"/>
  <c r="BN89" i="1"/>
  <c r="BN86" i="1"/>
  <c r="BN85" i="1"/>
  <c r="BN84" i="1"/>
  <c r="BL90" i="1"/>
  <c r="Z28" i="1"/>
  <c r="BA28" i="1" s="1"/>
  <c r="BB87" i="1"/>
  <c r="AC90" i="1"/>
  <c r="BB85" i="1"/>
  <c r="AC88" i="1"/>
  <c r="BC87" i="1"/>
  <c r="AD90" i="1"/>
  <c r="AE90" i="1" s="1"/>
  <c r="AG90" i="1" s="1"/>
  <c r="BB83" i="1"/>
  <c r="AC86" i="1"/>
  <c r="BC86" i="1"/>
  <c r="AD89" i="1"/>
  <c r="AE89" i="1" s="1"/>
  <c r="AG89" i="1" s="1"/>
  <c r="BC81" i="1"/>
  <c r="AD84" i="1"/>
  <c r="AE84" i="1" s="1"/>
  <c r="AG84" i="1" s="1"/>
  <c r="BB90" i="1"/>
  <c r="AC93" i="1"/>
  <c r="BC88" i="1"/>
  <c r="AD91" i="1"/>
  <c r="AE91" i="1" s="1"/>
  <c r="AG91" i="1" s="1"/>
  <c r="BC90" i="1"/>
  <c r="AD93" i="1"/>
  <c r="AE93" i="1" s="1"/>
  <c r="AG93" i="1" s="1"/>
  <c r="BB86" i="1"/>
  <c r="AC89" i="1"/>
  <c r="BC80" i="1"/>
  <c r="AD83" i="1"/>
  <c r="AE83" i="1" s="1"/>
  <c r="AG83" i="1" s="1"/>
  <c r="BC85" i="1"/>
  <c r="AD88" i="1"/>
  <c r="AE88" i="1" s="1"/>
  <c r="AG88" i="1" s="1"/>
  <c r="BB89" i="1"/>
  <c r="AC92" i="1"/>
  <c r="BB81" i="1"/>
  <c r="AC84" i="1"/>
  <c r="BC84" i="1"/>
  <c r="AD87" i="1"/>
  <c r="AE87" i="1" s="1"/>
  <c r="AG87" i="1" s="1"/>
  <c r="AD82" i="1"/>
  <c r="AE82" i="1" s="1"/>
  <c r="AG82" i="1" s="1"/>
  <c r="BC82" i="1"/>
  <c r="AD85" i="1"/>
  <c r="AE85" i="1" s="1"/>
  <c r="AG85" i="1" s="1"/>
  <c r="BC89" i="1"/>
  <c r="AD92" i="1"/>
  <c r="AE92" i="1" s="1"/>
  <c r="AG92" i="1" s="1"/>
  <c r="BB84" i="1"/>
  <c r="AC87" i="1"/>
  <c r="BB82" i="1"/>
  <c r="AC85" i="1"/>
  <c r="BB88" i="1"/>
  <c r="AC91" i="1"/>
  <c r="BB80" i="1"/>
  <c r="AC83" i="1"/>
  <c r="BC83" i="1"/>
  <c r="AD86" i="1"/>
  <c r="AE86" i="1" s="1"/>
  <c r="AG86" i="1" s="1"/>
  <c r="Z50" i="1"/>
  <c r="Z47" i="1"/>
  <c r="AA55" i="1"/>
  <c r="AI55" i="1" s="1"/>
  <c r="Z48" i="1"/>
  <c r="Z52" i="1"/>
  <c r="AA53" i="1"/>
  <c r="AI53" i="1" s="1"/>
  <c r="Z45" i="1"/>
  <c r="Z49" i="1"/>
  <c r="Z51" i="1"/>
  <c r="AA45" i="1"/>
  <c r="AI45" i="1" s="1"/>
  <c r="Z54" i="1"/>
  <c r="AA50" i="1"/>
  <c r="AI50" i="1" s="1"/>
  <c r="AA49" i="1"/>
  <c r="AI49" i="1" s="1"/>
  <c r="AA46" i="1"/>
  <c r="AI46" i="1" s="1"/>
  <c r="Z46" i="1"/>
  <c r="AA48" i="1"/>
  <c r="AI48" i="1" s="1"/>
  <c r="AA52" i="1"/>
  <c r="AI52" i="1" s="1"/>
  <c r="AH65" i="1"/>
  <c r="Z55" i="1"/>
  <c r="AA47" i="1"/>
  <c r="AI47" i="1" s="1"/>
  <c r="AA51" i="1"/>
  <c r="AI51" i="1" s="1"/>
  <c r="Z53" i="1"/>
  <c r="AA54" i="1"/>
  <c r="AI54" i="1" s="1"/>
  <c r="Y55" i="1"/>
  <c r="AG55" i="1" s="1"/>
  <c r="Y52" i="1"/>
  <c r="AG52" i="1" s="1"/>
  <c r="Z29" i="1"/>
  <c r="BA29" i="1" s="1"/>
  <c r="Z24" i="1"/>
  <c r="BA24" i="1" s="1"/>
  <c r="Z27" i="1"/>
  <c r="BA27" i="1" s="1"/>
  <c r="Z30" i="1"/>
  <c r="BA30" i="1" s="1"/>
  <c r="Y26" i="1"/>
  <c r="Y20" i="1"/>
  <c r="Z21" i="1"/>
  <c r="BA21" i="1" s="1"/>
  <c r="Z22" i="1"/>
  <c r="BA22" i="1" s="1"/>
  <c r="Y28" i="1"/>
  <c r="Y25" i="1"/>
  <c r="Z20" i="1"/>
  <c r="BA20" i="1" s="1"/>
  <c r="Y21" i="1"/>
  <c r="Y24" i="1"/>
  <c r="Z26" i="1"/>
  <c r="BA26" i="1" s="1"/>
  <c r="Y23" i="1"/>
  <c r="Z25" i="1"/>
  <c r="BA25" i="1" s="1"/>
  <c r="Y30" i="1"/>
  <c r="BA19" i="1"/>
  <c r="Y27" i="1"/>
  <c r="Y29" i="1"/>
  <c r="Y22" i="1"/>
  <c r="Z23" i="1"/>
  <c r="BA23" i="1" s="1"/>
  <c r="AD19" i="1"/>
  <c r="AI66" i="1"/>
  <c r="AI44" i="1"/>
  <c r="AI65" i="1"/>
  <c r="AI72" i="1"/>
  <c r="Y48" i="1"/>
  <c r="AG48" i="1" s="1"/>
  <c r="Y45" i="1"/>
  <c r="AG45" i="1" s="1"/>
  <c r="Y50" i="1"/>
  <c r="AG50" i="1" s="1"/>
  <c r="Y47" i="1"/>
  <c r="AG47" i="1" s="1"/>
  <c r="Y49" i="1"/>
  <c r="AG49" i="1" s="1"/>
  <c r="Y53" i="1"/>
  <c r="AG53" i="1" s="1"/>
  <c r="Y51" i="1"/>
  <c r="AG51" i="1" s="1"/>
  <c r="Y54" i="1"/>
  <c r="Y46" i="1"/>
  <c r="AG46" i="1" s="1"/>
  <c r="BC30" i="1"/>
  <c r="BC23" i="1"/>
  <c r="BD20" i="1"/>
  <c r="BD25" i="1"/>
  <c r="BD26" i="1"/>
  <c r="BD24" i="1"/>
  <c r="BC26" i="1"/>
  <c r="BC20" i="1"/>
  <c r="BD27" i="1"/>
  <c r="BD23" i="1"/>
  <c r="BC29" i="1"/>
  <c r="BC21" i="1"/>
  <c r="BD29" i="1"/>
  <c r="BD30" i="1"/>
  <c r="BC25" i="1"/>
  <c r="BD21" i="1"/>
  <c r="BD22" i="1"/>
  <c r="BC24" i="1"/>
  <c r="BD28" i="1"/>
  <c r="BB31" i="1"/>
  <c r="O57" i="1"/>
  <c r="AA57" i="1" s="1"/>
  <c r="L57" i="1"/>
  <c r="I57" i="1"/>
  <c r="Y57" i="1" s="1"/>
  <c r="I31" i="1"/>
  <c r="Y32" i="1" s="1"/>
  <c r="L31" i="1"/>
  <c r="O31" i="1"/>
  <c r="BC22" i="1"/>
  <c r="BC27" i="1"/>
  <c r="BC28" i="1"/>
  <c r="G159" i="1"/>
  <c r="G160" i="1"/>
  <c r="F160" i="1" s="1"/>
  <c r="G168" i="1"/>
  <c r="G161" i="1"/>
  <c r="G169" i="1"/>
  <c r="G162" i="1"/>
  <c r="G170" i="1"/>
  <c r="G163" i="1"/>
  <c r="G164" i="1"/>
  <c r="G108" i="1"/>
  <c r="AM105" i="1" s="1"/>
  <c r="G165" i="1"/>
  <c r="G166" i="1"/>
  <c r="G167" i="1"/>
  <c r="AE131" i="1"/>
  <c r="AE132" i="1"/>
  <c r="AE133" i="1"/>
  <c r="AE134" i="1"/>
  <c r="AE135" i="1"/>
  <c r="AE136" i="1"/>
  <c r="AE137" i="1"/>
  <c r="AE138" i="1"/>
  <c r="AE139" i="1"/>
  <c r="AE140" i="1"/>
  <c r="AE141" i="1"/>
  <c r="AF131" i="1"/>
  <c r="AF132" i="1"/>
  <c r="AF133" i="1"/>
  <c r="AF134" i="1"/>
  <c r="AF135" i="1"/>
  <c r="AF136" i="1"/>
  <c r="AF137" i="1"/>
  <c r="AF138" i="1"/>
  <c r="AF139" i="1"/>
  <c r="AF140" i="1"/>
  <c r="AF141" i="1"/>
  <c r="G117" i="1"/>
  <c r="AM114" i="1" s="1"/>
  <c r="AN114" i="1" s="1"/>
  <c r="AO114" i="1" s="1"/>
  <c r="G113" i="1"/>
  <c r="AM110" i="1" s="1"/>
  <c r="AN110" i="1" s="1"/>
  <c r="AO110" i="1" s="1"/>
  <c r="G109" i="1"/>
  <c r="G134" i="1"/>
  <c r="AJ130" i="1" s="1"/>
  <c r="G138" i="1"/>
  <c r="AJ134" i="1" s="1"/>
  <c r="G142" i="1"/>
  <c r="AJ138" i="1" s="1"/>
  <c r="G135" i="1"/>
  <c r="AJ131" i="1" s="1"/>
  <c r="G139" i="1"/>
  <c r="AJ135" i="1" s="1"/>
  <c r="G143" i="1"/>
  <c r="AJ139" i="1" s="1"/>
  <c r="G136" i="1"/>
  <c r="AJ132" i="1" s="1"/>
  <c r="G140" i="1"/>
  <c r="AJ136" i="1" s="1"/>
  <c r="G144" i="1"/>
  <c r="AJ140" i="1" s="1"/>
  <c r="G137" i="1"/>
  <c r="AJ133" i="1" s="1"/>
  <c r="G141" i="1"/>
  <c r="AJ137" i="1" s="1"/>
  <c r="AJ141" i="1"/>
  <c r="G95" i="1"/>
  <c r="G91" i="1"/>
  <c r="G87" i="1"/>
  <c r="G94" i="1"/>
  <c r="G90" i="1"/>
  <c r="G86" i="1"/>
  <c r="F86" i="1" s="1"/>
  <c r="G116" i="1"/>
  <c r="AM113" i="1" s="1"/>
  <c r="AN113" i="1" s="1"/>
  <c r="AO113" i="1" s="1"/>
  <c r="G112" i="1"/>
  <c r="AM109" i="1" s="1"/>
  <c r="AN109" i="1" s="1"/>
  <c r="AO109" i="1" s="1"/>
  <c r="G93" i="1"/>
  <c r="G89" i="1"/>
  <c r="G85" i="1"/>
  <c r="G119" i="1"/>
  <c r="AM116" i="1" s="1"/>
  <c r="AN116" i="1" s="1"/>
  <c r="AO116" i="1" s="1"/>
  <c r="G115" i="1"/>
  <c r="AM112" i="1" s="1"/>
  <c r="AN112" i="1" s="1"/>
  <c r="AO112" i="1" s="1"/>
  <c r="G111" i="1"/>
  <c r="AM108" i="1" s="1"/>
  <c r="AN108" i="1" s="1"/>
  <c r="AO108" i="1" s="1"/>
  <c r="G96" i="1"/>
  <c r="G92" i="1"/>
  <c r="G118" i="1"/>
  <c r="AM115" i="1" s="1"/>
  <c r="AN115" i="1" s="1"/>
  <c r="AO115" i="1" s="1"/>
  <c r="G114" i="1"/>
  <c r="AM111" i="1" s="1"/>
  <c r="AN111" i="1" s="1"/>
  <c r="AO111" i="1" s="1"/>
  <c r="G110" i="1"/>
  <c r="AM107" i="1" s="1"/>
  <c r="AN107" i="1" s="1"/>
  <c r="AO107" i="1" s="1"/>
  <c r="AD117" i="1"/>
  <c r="AD65" i="1"/>
  <c r="AI76" i="1" l="1"/>
  <c r="AI30" i="1" s="1"/>
  <c r="G149" i="1"/>
  <c r="AG73" i="1"/>
  <c r="AG27" i="1" s="1"/>
  <c r="BE19" i="1"/>
  <c r="AI19" i="1"/>
  <c r="AP19" i="1"/>
  <c r="AH19" i="1"/>
  <c r="AI20" i="1"/>
  <c r="AP20" i="1"/>
  <c r="AP30" i="1"/>
  <c r="AI26" i="1"/>
  <c r="AP26" i="1"/>
  <c r="BN78" i="1"/>
  <c r="AF113" i="1"/>
  <c r="AM64" i="12"/>
  <c r="AF112" i="1"/>
  <c r="AM63" i="12"/>
  <c r="AF108" i="1"/>
  <c r="AM59" i="12"/>
  <c r="AF116" i="1"/>
  <c r="AM67" i="12"/>
  <c r="AF109" i="1"/>
  <c r="AM60" i="12"/>
  <c r="AF110" i="1"/>
  <c r="AM61" i="12"/>
  <c r="AF107" i="1"/>
  <c r="AM58" i="12"/>
  <c r="AF111" i="1"/>
  <c r="AM62" i="12"/>
  <c r="AF114" i="1"/>
  <c r="AM65" i="12"/>
  <c r="AF115" i="1"/>
  <c r="AM66" i="12"/>
  <c r="AF39" i="12"/>
  <c r="AL39" i="12" s="1"/>
  <c r="AN105" i="1"/>
  <c r="AO105" i="1" s="1"/>
  <c r="AF105" i="1" s="1"/>
  <c r="AK105" i="1" s="1"/>
  <c r="BL91" i="1"/>
  <c r="BN90" i="1"/>
  <c r="BM91" i="1"/>
  <c r="AD30" i="1"/>
  <c r="AH105" i="1"/>
  <c r="AJ156" i="1"/>
  <c r="AN156" i="1" s="1"/>
  <c r="AH109" i="1"/>
  <c r="BN113" i="1" s="1"/>
  <c r="AJ155" i="1"/>
  <c r="AN155" i="1" s="1"/>
  <c r="AH108" i="1"/>
  <c r="BN112" i="1" s="1"/>
  <c r="AJ159" i="1"/>
  <c r="AN159" i="1" s="1"/>
  <c r="AH112" i="1"/>
  <c r="BN116" i="1" s="1"/>
  <c r="AJ162" i="1"/>
  <c r="AN162" i="1" s="1"/>
  <c r="AH115" i="1"/>
  <c r="BN119" i="1" s="1"/>
  <c r="AJ163" i="1"/>
  <c r="AN163" i="1" s="1"/>
  <c r="AH116" i="1"/>
  <c r="BN120" i="1" s="1"/>
  <c r="AJ154" i="1"/>
  <c r="AN154" i="1" s="1"/>
  <c r="AH107" i="1"/>
  <c r="BN111" i="1" s="1"/>
  <c r="AJ157" i="1"/>
  <c r="AN157" i="1" s="1"/>
  <c r="AH110" i="1"/>
  <c r="BN114" i="1" s="1"/>
  <c r="AJ160" i="1"/>
  <c r="AN160" i="1" s="1"/>
  <c r="AH113" i="1"/>
  <c r="BN117" i="1" s="1"/>
  <c r="AJ158" i="1"/>
  <c r="AN158" i="1" s="1"/>
  <c r="AH111" i="1"/>
  <c r="BN115" i="1" s="1"/>
  <c r="AJ161" i="1"/>
  <c r="AN161" i="1" s="1"/>
  <c r="AH114" i="1"/>
  <c r="BN118" i="1" s="1"/>
  <c r="AF89" i="1"/>
  <c r="AI46" i="12" s="1"/>
  <c r="AI68" i="1"/>
  <c r="AI69" i="1"/>
  <c r="AF87" i="1"/>
  <c r="AI44" i="12" s="1"/>
  <c r="AF82" i="1"/>
  <c r="AI39" i="12" s="1"/>
  <c r="AF86" i="1"/>
  <c r="AI43" i="12" s="1"/>
  <c r="AF91" i="1"/>
  <c r="AI48" i="12" s="1"/>
  <c r="BB91" i="1"/>
  <c r="BB92" i="1" s="1"/>
  <c r="BC91" i="1"/>
  <c r="BC92" i="1" s="1"/>
  <c r="AD52" i="1"/>
  <c r="AF92" i="1"/>
  <c r="AI49" i="12" s="1"/>
  <c r="AI73" i="1"/>
  <c r="AI74" i="1"/>
  <c r="AI67" i="1"/>
  <c r="AF88" i="1"/>
  <c r="AI45" i="12" s="1"/>
  <c r="AD94" i="1"/>
  <c r="Z56" i="1"/>
  <c r="AF85" i="1"/>
  <c r="AI42" i="12" s="1"/>
  <c r="AF83" i="1"/>
  <c r="AI40" i="12" s="1"/>
  <c r="AC94" i="1"/>
  <c r="AF93" i="1"/>
  <c r="AI50" i="12" s="1"/>
  <c r="AF90" i="1"/>
  <c r="AI47" i="12" s="1"/>
  <c r="AI70" i="1"/>
  <c r="AF84" i="1"/>
  <c r="AI41" i="12" s="1"/>
  <c r="AH53" i="1"/>
  <c r="AH74" i="1"/>
  <c r="AH54" i="1"/>
  <c r="AH75" i="1"/>
  <c r="AH45" i="1"/>
  <c r="AH66" i="1"/>
  <c r="Z57" i="1"/>
  <c r="AH46" i="1"/>
  <c r="AH67" i="1"/>
  <c r="AI75" i="1"/>
  <c r="AH47" i="1"/>
  <c r="AH68" i="1"/>
  <c r="AA56" i="1"/>
  <c r="AI71" i="1"/>
  <c r="AH51" i="1"/>
  <c r="AH72" i="1"/>
  <c r="AH52" i="1"/>
  <c r="AH73" i="1"/>
  <c r="AH50" i="1"/>
  <c r="AH71" i="1"/>
  <c r="AH55" i="1"/>
  <c r="AH76" i="1"/>
  <c r="AH49" i="1"/>
  <c r="AH70" i="1"/>
  <c r="AH48" i="1"/>
  <c r="AH69" i="1"/>
  <c r="AD54" i="1"/>
  <c r="AG54" i="1"/>
  <c r="Z32" i="1"/>
  <c r="Y31" i="1"/>
  <c r="Z31" i="1"/>
  <c r="AZ26" i="1"/>
  <c r="BE26" i="1" s="1"/>
  <c r="AD26" i="1"/>
  <c r="AZ30" i="1"/>
  <c r="BE30" i="1" s="1"/>
  <c r="AZ25" i="1"/>
  <c r="BE25" i="1" s="1"/>
  <c r="AD25" i="1"/>
  <c r="AZ21" i="1"/>
  <c r="BE21" i="1" s="1"/>
  <c r="AD21" i="1"/>
  <c r="AZ22" i="1"/>
  <c r="BE22" i="1" s="1"/>
  <c r="AD22" i="1"/>
  <c r="AZ24" i="1"/>
  <c r="BE24" i="1" s="1"/>
  <c r="AD24" i="1"/>
  <c r="AZ27" i="1"/>
  <c r="BE27" i="1" s="1"/>
  <c r="AD27" i="1"/>
  <c r="AZ29" i="1"/>
  <c r="BE29" i="1" s="1"/>
  <c r="AD29" i="1"/>
  <c r="AZ20" i="1"/>
  <c r="BE20" i="1" s="1"/>
  <c r="AD20" i="1"/>
  <c r="AZ23" i="1"/>
  <c r="BE23" i="1" s="1"/>
  <c r="AD23" i="1"/>
  <c r="AZ28" i="1"/>
  <c r="BE28" i="1" s="1"/>
  <c r="AD28" i="1"/>
  <c r="AF50" i="12"/>
  <c r="AL50" i="12" s="1"/>
  <c r="AF48" i="12"/>
  <c r="AL48" i="12" s="1"/>
  <c r="AF41" i="12"/>
  <c r="AL41" i="12" s="1"/>
  <c r="AF46" i="12"/>
  <c r="AL46" i="12" s="1"/>
  <c r="AF43" i="12"/>
  <c r="AL43" i="12" s="1"/>
  <c r="AF45" i="12"/>
  <c r="AL45" i="12" s="1"/>
  <c r="AF44" i="12"/>
  <c r="AL44" i="12" s="1"/>
  <c r="AF47" i="12"/>
  <c r="AL47" i="12" s="1"/>
  <c r="AF49" i="12"/>
  <c r="AL49" i="12" s="1"/>
  <c r="AF42" i="12"/>
  <c r="AL42" i="12" s="1"/>
  <c r="G64" i="1"/>
  <c r="AF40" i="12"/>
  <c r="AL40" i="12" s="1"/>
  <c r="AL44" i="1"/>
  <c r="AG71" i="1"/>
  <c r="AG66" i="1"/>
  <c r="AG76" i="1"/>
  <c r="AG67" i="1"/>
  <c r="AG69" i="1"/>
  <c r="AG75" i="1"/>
  <c r="AG72" i="1"/>
  <c r="AL65" i="1"/>
  <c r="AG74" i="1"/>
  <c r="AG70" i="1"/>
  <c r="AI56" i="1"/>
  <c r="AG68" i="1"/>
  <c r="AD48" i="1"/>
  <c r="AD45" i="1"/>
  <c r="AD47" i="1"/>
  <c r="AD50" i="1"/>
  <c r="F109" i="1"/>
  <c r="F110" i="1" s="1"/>
  <c r="AM106" i="1"/>
  <c r="AN106" i="1" s="1"/>
  <c r="AO106" i="1" s="1"/>
  <c r="AD53" i="1"/>
  <c r="AD55" i="1"/>
  <c r="AD51" i="1"/>
  <c r="AD46" i="1"/>
  <c r="AD49" i="1"/>
  <c r="G50" i="1"/>
  <c r="G68" i="1"/>
  <c r="G48" i="1"/>
  <c r="G66" i="1"/>
  <c r="G49" i="1"/>
  <c r="G67" i="1"/>
  <c r="G47" i="1"/>
  <c r="G65" i="1"/>
  <c r="G56" i="1"/>
  <c r="G74" i="1"/>
  <c r="G52" i="1"/>
  <c r="G70" i="1"/>
  <c r="G51" i="1"/>
  <c r="G69" i="1"/>
  <c r="G55" i="1"/>
  <c r="G73" i="1"/>
  <c r="G54" i="1"/>
  <c r="G72" i="1"/>
  <c r="G53" i="1"/>
  <c r="G71" i="1"/>
  <c r="G63" i="1"/>
  <c r="F20" i="1"/>
  <c r="CQ20" i="1" s="1"/>
  <c r="CR20" i="1" s="1"/>
  <c r="G46" i="1"/>
  <c r="BD31" i="1"/>
  <c r="AC31" i="1"/>
  <c r="AR32" i="1" s="1"/>
  <c r="AF142" i="1"/>
  <c r="AE142" i="1"/>
  <c r="BB55" i="1" s="1"/>
  <c r="BA31" i="1"/>
  <c r="AD44" i="1"/>
  <c r="BC31" i="1"/>
  <c r="AC56" i="1"/>
  <c r="AB31" i="1"/>
  <c r="AQ32" i="1" s="1"/>
  <c r="BL27" i="1"/>
  <c r="BM27" i="1" s="1"/>
  <c r="BL19" i="1"/>
  <c r="BM19" i="1" s="1"/>
  <c r="BL30" i="1"/>
  <c r="BM30" i="1" s="1"/>
  <c r="BL28" i="1"/>
  <c r="BM28" i="1" s="1"/>
  <c r="BL29" i="1"/>
  <c r="BM29" i="1" s="1"/>
  <c r="BL26" i="1"/>
  <c r="BM26" i="1" s="1"/>
  <c r="BL25" i="1"/>
  <c r="BM25" i="1" s="1"/>
  <c r="F161" i="1"/>
  <c r="F162" i="1" s="1"/>
  <c r="F163" i="1" s="1"/>
  <c r="F164" i="1" s="1"/>
  <c r="F165" i="1" s="1"/>
  <c r="F166" i="1" s="1"/>
  <c r="F167" i="1" s="1"/>
  <c r="F168" i="1" s="1"/>
  <c r="F169" i="1" s="1"/>
  <c r="F170" i="1" s="1"/>
  <c r="BL24" i="1"/>
  <c r="BM24" i="1" s="1"/>
  <c r="BL23" i="1"/>
  <c r="BM23" i="1" s="1"/>
  <c r="BL21" i="1"/>
  <c r="BM21" i="1" s="1"/>
  <c r="BL22" i="1"/>
  <c r="BM22" i="1" s="1"/>
  <c r="BL20" i="1"/>
  <c r="BM20" i="1" s="1"/>
  <c r="F135" i="1"/>
  <c r="F136" i="1" s="1"/>
  <c r="F137" i="1" s="1"/>
  <c r="F138" i="1" s="1"/>
  <c r="F139" i="1" s="1"/>
  <c r="F140" i="1" s="1"/>
  <c r="F141" i="1" s="1"/>
  <c r="F142" i="1" s="1"/>
  <c r="F143" i="1" s="1"/>
  <c r="F144" i="1" s="1"/>
  <c r="F145" i="1" s="1"/>
  <c r="CQ19" i="1"/>
  <c r="CR19" i="1" s="1"/>
  <c r="F87" i="1"/>
  <c r="BD90" i="1"/>
  <c r="BD89" i="1"/>
  <c r="BD88" i="1"/>
  <c r="BD87" i="1"/>
  <c r="BD86" i="1"/>
  <c r="BD85" i="1"/>
  <c r="BD84" i="1"/>
  <c r="BD83" i="1"/>
  <c r="BD82" i="1"/>
  <c r="BD81" i="1"/>
  <c r="BD80" i="1"/>
  <c r="BD79" i="1"/>
  <c r="AA83" i="1"/>
  <c r="AA84" i="1"/>
  <c r="AA85" i="1"/>
  <c r="AA86" i="1"/>
  <c r="AA87" i="1"/>
  <c r="AA88" i="1"/>
  <c r="AA89" i="1"/>
  <c r="AA90" i="1"/>
  <c r="AA91" i="1"/>
  <c r="AA92" i="1"/>
  <c r="AA93" i="1"/>
  <c r="AA82" i="1"/>
  <c r="Z94" i="1"/>
  <c r="Z95" i="1" s="1"/>
  <c r="Y94" i="1"/>
  <c r="Y95" i="1" s="1"/>
  <c r="AD76" i="1"/>
  <c r="AD75" i="1"/>
  <c r="AD74" i="1"/>
  <c r="AD73" i="1"/>
  <c r="AD72" i="1"/>
  <c r="AD71" i="1"/>
  <c r="AD70" i="1"/>
  <c r="AD69" i="1"/>
  <c r="AD68" i="1"/>
  <c r="AD67" i="1"/>
  <c r="AD66" i="1"/>
  <c r="Y56" i="1"/>
  <c r="Y78" i="1" s="1"/>
  <c r="AD78" i="1" s="1"/>
  <c r="AA31" i="1"/>
  <c r="AP32" i="1" s="1"/>
  <c r="DB398" i="11"/>
  <c r="CI397" i="11"/>
  <c r="CZ396" i="11"/>
  <c r="CM395" i="11"/>
  <c r="DA394" i="11"/>
  <c r="CZ393" i="11"/>
  <c r="DA392" i="11"/>
  <c r="CX391" i="11"/>
  <c r="CY390" i="11"/>
  <c r="CZ388" i="11"/>
  <c r="DA387" i="11"/>
  <c r="DB386" i="11"/>
  <c r="CN384" i="11"/>
  <c r="CY383" i="11"/>
  <c r="CW382" i="11"/>
  <c r="CM381" i="11"/>
  <c r="DB380" i="11"/>
  <c r="DA379" i="11"/>
  <c r="DA378" i="11"/>
  <c r="DA377" i="11"/>
  <c r="CY376" i="11"/>
  <c r="DA374" i="11"/>
  <c r="DA373" i="11"/>
  <c r="DA372" i="11"/>
  <c r="DB370" i="11"/>
  <c r="CX369" i="11"/>
  <c r="CZ366" i="11"/>
  <c r="DB364" i="11"/>
  <c r="DB357" i="11"/>
  <c r="DA357" i="11"/>
  <c r="CZ357" i="11"/>
  <c r="CY357" i="11"/>
  <c r="CX357" i="11"/>
  <c r="CW357" i="11"/>
  <c r="CV357" i="11"/>
  <c r="CU357" i="11"/>
  <c r="CT357" i="11"/>
  <c r="CS357" i="11"/>
  <c r="CR357" i="11"/>
  <c r="CQ357" i="11"/>
  <c r="CP357" i="11"/>
  <c r="CO357" i="11"/>
  <c r="CN357" i="11"/>
  <c r="CM357" i="11"/>
  <c r="CL357" i="11"/>
  <c r="CK357" i="11"/>
  <c r="CJ357" i="11"/>
  <c r="CI357" i="11"/>
  <c r="CH357" i="11"/>
  <c r="CG357" i="11"/>
  <c r="CF357" i="11"/>
  <c r="CE357" i="11"/>
  <c r="CD357" i="11"/>
  <c r="CC357" i="11"/>
  <c r="CB357" i="11"/>
  <c r="CA357" i="11"/>
  <c r="BZ357" i="11"/>
  <c r="BY357" i="11"/>
  <c r="BX357" i="11"/>
  <c r="BW357" i="11"/>
  <c r="BV357" i="11"/>
  <c r="BU357" i="11"/>
  <c r="BT357" i="11"/>
  <c r="BS357" i="11"/>
  <c r="BR357" i="11"/>
  <c r="BQ357" i="11"/>
  <c r="BP357" i="11"/>
  <c r="BO357" i="11"/>
  <c r="BN357" i="11"/>
  <c r="BM357" i="11"/>
  <c r="BL357" i="11"/>
  <c r="BK357" i="11"/>
  <c r="BJ357" i="11"/>
  <c r="BI357" i="11"/>
  <c r="BH357" i="11"/>
  <c r="BG357" i="11"/>
  <c r="BF357" i="11"/>
  <c r="BE357" i="11"/>
  <c r="BD357" i="11"/>
  <c r="BC357" i="11"/>
  <c r="BB357" i="11"/>
  <c r="BA357" i="11"/>
  <c r="AZ357" i="11"/>
  <c r="AY357" i="11"/>
  <c r="AX357" i="11"/>
  <c r="AW357" i="11"/>
  <c r="AV357" i="11"/>
  <c r="AU357" i="11"/>
  <c r="AT357" i="11"/>
  <c r="AS357" i="11"/>
  <c r="AR357" i="11"/>
  <c r="AQ357" i="11"/>
  <c r="AP357" i="11"/>
  <c r="AO357" i="11"/>
  <c r="AN357" i="11"/>
  <c r="AM357" i="11"/>
  <c r="AL357" i="11"/>
  <c r="AK357" i="11"/>
  <c r="AJ357" i="11"/>
  <c r="AI357" i="11"/>
  <c r="AH357" i="11"/>
  <c r="AG357" i="11"/>
  <c r="AF357" i="11"/>
  <c r="AE357" i="11"/>
  <c r="AD357" i="11"/>
  <c r="AC357" i="11"/>
  <c r="AB357" i="11"/>
  <c r="AA357" i="11"/>
  <c r="Z357" i="11"/>
  <c r="Y357" i="11"/>
  <c r="X357" i="11"/>
  <c r="W357" i="11"/>
  <c r="V357" i="11"/>
  <c r="U357" i="11"/>
  <c r="T357" i="11"/>
  <c r="S357" i="11"/>
  <c r="R357" i="11"/>
  <c r="Q357" i="11"/>
  <c r="P357" i="11"/>
  <c r="O357" i="11"/>
  <c r="N357" i="11"/>
  <c r="M357" i="11"/>
  <c r="L357" i="11"/>
  <c r="K357" i="11"/>
  <c r="J357" i="11"/>
  <c r="I357" i="11"/>
  <c r="H357" i="11"/>
  <c r="G357" i="11"/>
  <c r="BM99" i="1" l="1"/>
  <c r="BM98" i="1"/>
  <c r="BM100" i="1" s="1"/>
  <c r="BC98" i="1"/>
  <c r="BC100" i="1" s="1"/>
  <c r="BC99" i="1"/>
  <c r="BB99" i="1"/>
  <c r="BB98" i="1"/>
  <c r="BB100" i="1" s="1"/>
  <c r="BL99" i="1"/>
  <c r="BL98" i="1"/>
  <c r="BL100" i="1" s="1"/>
  <c r="AI105" i="1"/>
  <c r="AL105" i="1" s="1"/>
  <c r="BL119" i="1"/>
  <c r="BO119" i="1" s="1"/>
  <c r="AK115" i="1"/>
  <c r="BL114" i="1"/>
  <c r="BO114" i="1" s="1"/>
  <c r="AK110" i="1"/>
  <c r="BL118" i="1"/>
  <c r="BO118" i="1" s="1"/>
  <c r="AK114" i="1"/>
  <c r="BL113" i="1"/>
  <c r="BO113" i="1" s="1"/>
  <c r="AK109" i="1"/>
  <c r="BL117" i="1"/>
  <c r="BO117" i="1" s="1"/>
  <c r="AK113" i="1"/>
  <c r="BL116" i="1"/>
  <c r="BO116" i="1" s="1"/>
  <c r="AK112" i="1"/>
  <c r="BL115" i="1"/>
  <c r="BO115" i="1" s="1"/>
  <c r="AK111" i="1"/>
  <c r="BL120" i="1"/>
  <c r="BO120" i="1" s="1"/>
  <c r="AK116" i="1"/>
  <c r="BB111" i="1"/>
  <c r="AK107" i="1"/>
  <c r="BL112" i="1"/>
  <c r="BO112" i="1" s="1"/>
  <c r="AK108" i="1"/>
  <c r="AN19" i="1"/>
  <c r="J64" i="12"/>
  <c r="J58" i="12"/>
  <c r="J60" i="12"/>
  <c r="J59" i="12"/>
  <c r="J56" i="12"/>
  <c r="J57" i="12"/>
  <c r="J55" i="12"/>
  <c r="J63" i="12"/>
  <c r="AM56" i="12"/>
  <c r="J53" i="12" s="1"/>
  <c r="AL52" i="1"/>
  <c r="CC14" i="1"/>
  <c r="CK14" i="1"/>
  <c r="AL49" i="1"/>
  <c r="AL51" i="1"/>
  <c r="AL53" i="1"/>
  <c r="AL55" i="1"/>
  <c r="AL45" i="1"/>
  <c r="AL48" i="1"/>
  <c r="AL50" i="1"/>
  <c r="AL47" i="1"/>
  <c r="AO19" i="1"/>
  <c r="AL19" i="1"/>
  <c r="AN27" i="1"/>
  <c r="AG30" i="1"/>
  <c r="AN30" i="1"/>
  <c r="AH30" i="1"/>
  <c r="AO30" i="1"/>
  <c r="AI25" i="1"/>
  <c r="AP25" i="1"/>
  <c r="AI24" i="1"/>
  <c r="AP24" i="1"/>
  <c r="AG24" i="1"/>
  <c r="AN24" i="1"/>
  <c r="AG20" i="1"/>
  <c r="AN20" i="1"/>
  <c r="AH20" i="1"/>
  <c r="AO20" i="1"/>
  <c r="AG28" i="1"/>
  <c r="AN28" i="1"/>
  <c r="AG25" i="1"/>
  <c r="AN25" i="1"/>
  <c r="AH25" i="1"/>
  <c r="AO25" i="1"/>
  <c r="AH22" i="1"/>
  <c r="AO22" i="1"/>
  <c r="AI21" i="1"/>
  <c r="AP21" i="1"/>
  <c r="AH29" i="1"/>
  <c r="AO29" i="1"/>
  <c r="AI28" i="1"/>
  <c r="AP28" i="1"/>
  <c r="AG26" i="1"/>
  <c r="AN26" i="1"/>
  <c r="AH23" i="1"/>
  <c r="AO23" i="1"/>
  <c r="AH27" i="1"/>
  <c r="AO27" i="1"/>
  <c r="AI29" i="1"/>
  <c r="AP29" i="1"/>
  <c r="AI27" i="1"/>
  <c r="AP27" i="1"/>
  <c r="AG29" i="1"/>
  <c r="AN29" i="1"/>
  <c r="AH21" i="1"/>
  <c r="AO21" i="1"/>
  <c r="AH28" i="1"/>
  <c r="AO28" i="1"/>
  <c r="AI23" i="1"/>
  <c r="AP23" i="1"/>
  <c r="AG23" i="1"/>
  <c r="AN23" i="1"/>
  <c r="AH24" i="1"/>
  <c r="AO24" i="1"/>
  <c r="AH26" i="1"/>
  <c r="AO26" i="1"/>
  <c r="AI22" i="1"/>
  <c r="AP22" i="1"/>
  <c r="AG22" i="1"/>
  <c r="AN22" i="1"/>
  <c r="AG21" i="1"/>
  <c r="AN21" i="1"/>
  <c r="BB112" i="1"/>
  <c r="BL111" i="1"/>
  <c r="BO111" i="1" s="1"/>
  <c r="BM92" i="1"/>
  <c r="AF106" i="1"/>
  <c r="AM57" i="12"/>
  <c r="J62" i="12" s="1"/>
  <c r="AJ152" i="1"/>
  <c r="AN152" i="1" s="1"/>
  <c r="BN109" i="1"/>
  <c r="BK55" i="1"/>
  <c r="BC94" i="1"/>
  <c r="BC93" i="1"/>
  <c r="BM93" i="1"/>
  <c r="AP57" i="1"/>
  <c r="BM43" i="1"/>
  <c r="BL93" i="1"/>
  <c r="BL92" i="1"/>
  <c r="BN91" i="1"/>
  <c r="AO50" i="12"/>
  <c r="AO47" i="12"/>
  <c r="AO48" i="12"/>
  <c r="AJ153" i="1"/>
  <c r="AN153" i="1" s="1"/>
  <c r="AH106" i="1"/>
  <c r="BN110" i="1" s="1"/>
  <c r="AL69" i="1"/>
  <c r="AO41" i="12"/>
  <c r="AO42" i="12"/>
  <c r="AO49" i="12"/>
  <c r="AO44" i="12"/>
  <c r="AO40" i="12"/>
  <c r="AO45" i="12"/>
  <c r="AA95" i="1"/>
  <c r="AA213" i="1" s="1"/>
  <c r="BD109" i="1"/>
  <c r="AO46" i="12"/>
  <c r="AO43" i="12"/>
  <c r="AL54" i="1"/>
  <c r="AL75" i="1"/>
  <c r="AL68" i="1"/>
  <c r="AL73" i="1"/>
  <c r="BD91" i="1"/>
  <c r="AL70" i="1"/>
  <c r="AI77" i="1"/>
  <c r="AI78" i="1" s="1"/>
  <c r="AI32" i="1" s="1"/>
  <c r="AL76" i="1"/>
  <c r="AF94" i="1"/>
  <c r="AL66" i="1"/>
  <c r="AL71" i="1"/>
  <c r="AL74" i="1"/>
  <c r="AL67" i="1"/>
  <c r="AH77" i="1"/>
  <c r="AH78" i="1" s="1"/>
  <c r="AH32" i="1" s="1"/>
  <c r="AL72" i="1"/>
  <c r="AH56" i="1"/>
  <c r="BL43" i="1" s="1"/>
  <c r="AD31" i="1"/>
  <c r="CF14" i="1"/>
  <c r="AO39" i="12"/>
  <c r="AI51" i="12"/>
  <c r="AD32" i="1"/>
  <c r="Y33" i="1" s="1"/>
  <c r="BD153" i="1"/>
  <c r="CB14" i="1"/>
  <c r="CJ14" i="1"/>
  <c r="AO117" i="1"/>
  <c r="BC109" i="1"/>
  <c r="BB113" i="1"/>
  <c r="AG56" i="1"/>
  <c r="AG57" i="1" s="1"/>
  <c r="AI57" i="1"/>
  <c r="BD42" i="1" s="1"/>
  <c r="BD43" i="1"/>
  <c r="AL46" i="1"/>
  <c r="AG77" i="1"/>
  <c r="AG78" i="1" s="1"/>
  <c r="AG32" i="1" s="1"/>
  <c r="AE94" i="1"/>
  <c r="F88" i="1"/>
  <c r="F46" i="1"/>
  <c r="F64" i="1"/>
  <c r="CN14" i="1"/>
  <c r="AZ31" i="1"/>
  <c r="CD14" i="1"/>
  <c r="CL14" i="1"/>
  <c r="CM14" i="1"/>
  <c r="CE14" i="1"/>
  <c r="AD57" i="1"/>
  <c r="Y58" i="1" s="1"/>
  <c r="AA94" i="1"/>
  <c r="AD77" i="1"/>
  <c r="AB56" i="1"/>
  <c r="BE31" i="1"/>
  <c r="CA27" i="1"/>
  <c r="CA20" i="1"/>
  <c r="CA25" i="1"/>
  <c r="CA24" i="1"/>
  <c r="CA22" i="1"/>
  <c r="CA21" i="1"/>
  <c r="CA29" i="1"/>
  <c r="CA26" i="1"/>
  <c r="CA23" i="1"/>
  <c r="CA28" i="1"/>
  <c r="CA30" i="1"/>
  <c r="BZ19" i="1"/>
  <c r="BZ29" i="1"/>
  <c r="BZ27" i="1"/>
  <c r="BZ28" i="1"/>
  <c r="BZ20" i="1"/>
  <c r="BZ24" i="1"/>
  <c r="BZ22" i="1"/>
  <c r="BZ25" i="1"/>
  <c r="BZ30" i="1"/>
  <c r="BZ21" i="1"/>
  <c r="BZ23" i="1"/>
  <c r="BZ26" i="1"/>
  <c r="F111" i="1"/>
  <c r="F21" i="1"/>
  <c r="F65" i="1" s="1"/>
  <c r="CO380" i="11"/>
  <c r="CT380" i="11"/>
  <c r="CP380" i="11"/>
  <c r="CL380" i="11"/>
  <c r="CS374" i="11"/>
  <c r="CW380" i="11"/>
  <c r="CE392" i="11"/>
  <c r="CY397" i="11"/>
  <c r="CM392" i="11"/>
  <c r="CQ378" i="11"/>
  <c r="CF388" i="11"/>
  <c r="CT374" i="11"/>
  <c r="CX380" i="11"/>
  <c r="CE387" i="11"/>
  <c r="BW398" i="11"/>
  <c r="CW374" i="11"/>
  <c r="CT387" i="11"/>
  <c r="CK390" i="11"/>
  <c r="CI398" i="11"/>
  <c r="CX372" i="11"/>
  <c r="DB374" i="11"/>
  <c r="CY379" i="11"/>
  <c r="CS390" i="11"/>
  <c r="CH391" i="11"/>
  <c r="BX394" i="11"/>
  <c r="CD394" i="11"/>
  <c r="CH390" i="11"/>
  <c r="CT394" i="11"/>
  <c r="CF396" i="11"/>
  <c r="BW397" i="11"/>
  <c r="CN388" i="11"/>
  <c r="CU388" i="11"/>
  <c r="CX368" i="11"/>
  <c r="CU383" i="11"/>
  <c r="DB387" i="11"/>
  <c r="CI388" i="11"/>
  <c r="CO388" i="11"/>
  <c r="CV388" i="11"/>
  <c r="CL391" i="11"/>
  <c r="CM397" i="11"/>
  <c r="CG398" i="11"/>
  <c r="CJ388" i="11"/>
  <c r="CQ388" i="11"/>
  <c r="CY388" i="11"/>
  <c r="CL387" i="11"/>
  <c r="CE388" i="11"/>
  <c r="CK388" i="11"/>
  <c r="CS388" i="11"/>
  <c r="DA388" i="11"/>
  <c r="CU392" i="11"/>
  <c r="CE393" i="11"/>
  <c r="CM393" i="11"/>
  <c r="CU393" i="11"/>
  <c r="BZ392" i="11"/>
  <c r="CW392" i="11"/>
  <c r="CG393" i="11"/>
  <c r="CW393" i="11"/>
  <c r="CT372" i="11"/>
  <c r="CU374" i="11"/>
  <c r="CY374" i="11"/>
  <c r="CM379" i="11"/>
  <c r="CH387" i="11"/>
  <c r="CP387" i="11"/>
  <c r="CX387" i="11"/>
  <c r="CU390" i="11"/>
  <c r="CZ391" i="11"/>
  <c r="CA392" i="11"/>
  <c r="CI392" i="11"/>
  <c r="CQ392" i="11"/>
  <c r="CY392" i="11"/>
  <c r="CA393" i="11"/>
  <c r="CI393" i="11"/>
  <c r="CQ393" i="11"/>
  <c r="CY393" i="11"/>
  <c r="CQ396" i="11"/>
  <c r="CR398" i="11"/>
  <c r="CX374" i="11"/>
  <c r="CM387" i="11"/>
  <c r="CU387" i="11"/>
  <c r="CG392" i="11"/>
  <c r="CO392" i="11"/>
  <c r="BY393" i="11"/>
  <c r="CO393" i="11"/>
  <c r="CK396" i="11"/>
  <c r="CV372" i="11"/>
  <c r="CR374" i="11"/>
  <c r="CV374" i="11"/>
  <c r="CZ374" i="11"/>
  <c r="CU376" i="11"/>
  <c r="CQ379" i="11"/>
  <c r="CM383" i="11"/>
  <c r="CI387" i="11"/>
  <c r="CQ387" i="11"/>
  <c r="CY387" i="11"/>
  <c r="CC392" i="11"/>
  <c r="CK392" i="11"/>
  <c r="CS392" i="11"/>
  <c r="CC393" i="11"/>
  <c r="CK393" i="11"/>
  <c r="CS393" i="11"/>
  <c r="DA393" i="11"/>
  <c r="CA396" i="11"/>
  <c r="CW396" i="11"/>
  <c r="CB396" i="11"/>
  <c r="CM396" i="11"/>
  <c r="CX396" i="11"/>
  <c r="CY370" i="11"/>
  <c r="DB372" i="11"/>
  <c r="CV378" i="11"/>
  <c r="CS380" i="11"/>
  <c r="CP386" i="11"/>
  <c r="CF387" i="11"/>
  <c r="CJ387" i="11"/>
  <c r="CN387" i="11"/>
  <c r="CR387" i="11"/>
  <c r="CV387" i="11"/>
  <c r="CZ387" i="11"/>
  <c r="CP391" i="11"/>
  <c r="BY394" i="11"/>
  <c r="CI394" i="11"/>
  <c r="BX396" i="11"/>
  <c r="CC396" i="11"/>
  <c r="CI396" i="11"/>
  <c r="CN396" i="11"/>
  <c r="CS396" i="11"/>
  <c r="DA396" i="11"/>
  <c r="BX398" i="11"/>
  <c r="CS398" i="11"/>
  <c r="CT378" i="11"/>
  <c r="CH394" i="11"/>
  <c r="BW396" i="11"/>
  <c r="CG396" i="11"/>
  <c r="CR396" i="11"/>
  <c r="CU377" i="11"/>
  <c r="CN378" i="11"/>
  <c r="CY378" i="11"/>
  <c r="CY381" i="11"/>
  <c r="CQ382" i="11"/>
  <c r="CW386" i="11"/>
  <c r="CG387" i="11"/>
  <c r="CK387" i="11"/>
  <c r="CO387" i="11"/>
  <c r="CS387" i="11"/>
  <c r="CW387" i="11"/>
  <c r="CA391" i="11"/>
  <c r="CV391" i="11"/>
  <c r="CB394" i="11"/>
  <c r="CR394" i="11"/>
  <c r="BY396" i="11"/>
  <c r="CE396" i="11"/>
  <c r="CJ396" i="11"/>
  <c r="CO396" i="11"/>
  <c r="CU396" i="11"/>
  <c r="DB396" i="11"/>
  <c r="CV370" i="11"/>
  <c r="CZ370" i="11"/>
  <c r="CY372" i="11"/>
  <c r="CY377" i="11"/>
  <c r="CP378" i="11"/>
  <c r="CU378" i="11"/>
  <c r="DB378" i="11"/>
  <c r="DA380" i="11"/>
  <c r="CZ380" i="11"/>
  <c r="CV380" i="11"/>
  <c r="CR380" i="11"/>
  <c r="CN380" i="11"/>
  <c r="CY380" i="11"/>
  <c r="CU380" i="11"/>
  <c r="CQ380" i="11"/>
  <c r="CM380" i="11"/>
  <c r="CS382" i="11"/>
  <c r="DB384" i="11"/>
  <c r="CZ384" i="11"/>
  <c r="CR384" i="11"/>
  <c r="CJ384" i="11"/>
  <c r="CY384" i="11"/>
  <c r="CQ384" i="11"/>
  <c r="CI384" i="11"/>
  <c r="CW370" i="11"/>
  <c r="DA370" i="11"/>
  <c r="CL382" i="11"/>
  <c r="CU384" i="11"/>
  <c r="DB382" i="11"/>
  <c r="DA382" i="11"/>
  <c r="CU382" i="11"/>
  <c r="CP382" i="11"/>
  <c r="CK382" i="11"/>
  <c r="CY382" i="11"/>
  <c r="CT382" i="11"/>
  <c r="CO382" i="11"/>
  <c r="CJ382" i="11"/>
  <c r="CM384" i="11"/>
  <c r="DA366" i="11"/>
  <c r="CX370" i="11"/>
  <c r="CU373" i="11"/>
  <c r="CQ377" i="11"/>
  <c r="CR378" i="11"/>
  <c r="CX378" i="11"/>
  <c r="CU381" i="11"/>
  <c r="CQ381" i="11"/>
  <c r="CM382" i="11"/>
  <c r="CX382" i="11"/>
  <c r="CV384" i="11"/>
  <c r="CC390" i="11"/>
  <c r="CM390" i="11"/>
  <c r="CX390" i="11"/>
  <c r="BZ394" i="11"/>
  <c r="CE394" i="11"/>
  <c r="CM394" i="11"/>
  <c r="CX394" i="11"/>
  <c r="CB398" i="11"/>
  <c r="CM398" i="11"/>
  <c r="CW398" i="11"/>
  <c r="CH386" i="11"/>
  <c r="CG388" i="11"/>
  <c r="CM388" i="11"/>
  <c r="CR388" i="11"/>
  <c r="CW388" i="11"/>
  <c r="CE390" i="11"/>
  <c r="CP390" i="11"/>
  <c r="DA390" i="11"/>
  <c r="CE391" i="11"/>
  <c r="CR391" i="11"/>
  <c r="CA394" i="11"/>
  <c r="CF394" i="11"/>
  <c r="CN394" i="11"/>
  <c r="CY394" i="11"/>
  <c r="BV396" i="11"/>
  <c r="BZ396" i="11"/>
  <c r="CD396" i="11"/>
  <c r="CH396" i="11"/>
  <c r="CL396" i="11"/>
  <c r="CP396" i="11"/>
  <c r="CT396" i="11"/>
  <c r="CY396" i="11"/>
  <c r="CC398" i="11"/>
  <c r="CN398" i="11"/>
  <c r="CY398" i="11"/>
  <c r="DB366" i="11"/>
  <c r="CU372" i="11"/>
  <c r="CZ372" i="11"/>
  <c r="CW373" i="11"/>
  <c r="CI383" i="11"/>
  <c r="DB397" i="11"/>
  <c r="CX397" i="11"/>
  <c r="CT397" i="11"/>
  <c r="CP397" i="11"/>
  <c r="CL397" i="11"/>
  <c r="CH397" i="11"/>
  <c r="CD397" i="11"/>
  <c r="BZ397" i="11"/>
  <c r="BV397" i="11"/>
  <c r="DA397" i="11"/>
  <c r="CW397" i="11"/>
  <c r="CS397" i="11"/>
  <c r="CO397" i="11"/>
  <c r="CK397" i="11"/>
  <c r="CG397" i="11"/>
  <c r="CC397" i="11"/>
  <c r="BY397" i="11"/>
  <c r="BU397" i="11"/>
  <c r="CZ397" i="11"/>
  <c r="CV397" i="11"/>
  <c r="CR397" i="11"/>
  <c r="CN397" i="11"/>
  <c r="CJ397" i="11"/>
  <c r="CF397" i="11"/>
  <c r="CB397" i="11"/>
  <c r="BX397" i="11"/>
  <c r="DB376" i="11"/>
  <c r="CX376" i="11"/>
  <c r="CT376" i="11"/>
  <c r="CP376" i="11"/>
  <c r="DA376" i="11"/>
  <c r="CW376" i="11"/>
  <c r="CS376" i="11"/>
  <c r="CZ376" i="11"/>
  <c r="CV376" i="11"/>
  <c r="CR376" i="11"/>
  <c r="DB383" i="11"/>
  <c r="CX383" i="11"/>
  <c r="CT383" i="11"/>
  <c r="CP383" i="11"/>
  <c r="CL383" i="11"/>
  <c r="DA383" i="11"/>
  <c r="CW383" i="11"/>
  <c r="CS383" i="11"/>
  <c r="CO383" i="11"/>
  <c r="CK383" i="11"/>
  <c r="CZ383" i="11"/>
  <c r="CV383" i="11"/>
  <c r="CR383" i="11"/>
  <c r="CN383" i="11"/>
  <c r="CJ383" i="11"/>
  <c r="CA397" i="11"/>
  <c r="CQ397" i="11"/>
  <c r="CQ376" i="11"/>
  <c r="CQ383" i="11"/>
  <c r="CE397" i="11"/>
  <c r="CU397" i="11"/>
  <c r="CK386" i="11"/>
  <c r="CX386" i="11"/>
  <c r="CG390" i="11"/>
  <c r="CL390" i="11"/>
  <c r="CQ390" i="11"/>
  <c r="CW390" i="11"/>
  <c r="DB390" i="11"/>
  <c r="CF391" i="11"/>
  <c r="CM391" i="11"/>
  <c r="CU391" i="11"/>
  <c r="DB391" i="11"/>
  <c r="BZ393" i="11"/>
  <c r="CD393" i="11"/>
  <c r="CH393" i="11"/>
  <c r="CL393" i="11"/>
  <c r="CP393" i="11"/>
  <c r="CT393" i="11"/>
  <c r="CX393" i="11"/>
  <c r="DB393" i="11"/>
  <c r="CJ394" i="11"/>
  <c r="CP394" i="11"/>
  <c r="CU394" i="11"/>
  <c r="CZ394" i="11"/>
  <c r="BW395" i="11"/>
  <c r="BT398" i="11"/>
  <c r="BY398" i="11"/>
  <c r="CE398" i="11"/>
  <c r="CJ398" i="11"/>
  <c r="CO398" i="11"/>
  <c r="CU398" i="11"/>
  <c r="CZ398" i="11"/>
  <c r="CL394" i="11"/>
  <c r="CQ394" i="11"/>
  <c r="CV394" i="11"/>
  <c r="DB394" i="11"/>
  <c r="CV396" i="11"/>
  <c r="BU398" i="11"/>
  <c r="CA398" i="11"/>
  <c r="CF398" i="11"/>
  <c r="CK398" i="11"/>
  <c r="CQ398" i="11"/>
  <c r="CV398" i="11"/>
  <c r="DA398" i="11"/>
  <c r="CZ378" i="11"/>
  <c r="CU379" i="11"/>
  <c r="CQ386" i="11"/>
  <c r="CD390" i="11"/>
  <c r="CI390" i="11"/>
  <c r="CO390" i="11"/>
  <c r="CT390" i="11"/>
  <c r="CB391" i="11"/>
  <c r="CJ391" i="11"/>
  <c r="CQ391" i="11"/>
  <c r="CB393" i="11"/>
  <c r="CF393" i="11"/>
  <c r="CJ393" i="11"/>
  <c r="CN393" i="11"/>
  <c r="CR393" i="11"/>
  <c r="CV393" i="11"/>
  <c r="DB371" i="11"/>
  <c r="CX371" i="11"/>
  <c r="DA371" i="11"/>
  <c r="CV371" i="11"/>
  <c r="CZ371" i="11"/>
  <c r="CU371" i="11"/>
  <c r="CY371" i="11"/>
  <c r="DA368" i="11"/>
  <c r="DB368" i="11"/>
  <c r="CZ368" i="11"/>
  <c r="CY368" i="11"/>
  <c r="DB365" i="11"/>
  <c r="DA365" i="11"/>
  <c r="DB375" i="11"/>
  <c r="CX375" i="11"/>
  <c r="CT375" i="11"/>
  <c r="DA375" i="11"/>
  <c r="CW375" i="11"/>
  <c r="CS375" i="11"/>
  <c r="CZ375" i="11"/>
  <c r="CV375" i="11"/>
  <c r="CR375" i="11"/>
  <c r="CY375" i="11"/>
  <c r="CU375" i="11"/>
  <c r="CQ375" i="11"/>
  <c r="DB367" i="11"/>
  <c r="DA367" i="11"/>
  <c r="CZ367" i="11"/>
  <c r="CY367" i="11"/>
  <c r="CZ369" i="11"/>
  <c r="DB369" i="11"/>
  <c r="CW369" i="11"/>
  <c r="DA369" i="11"/>
  <c r="CY369" i="11"/>
  <c r="CW371" i="11"/>
  <c r="CY373" i="11"/>
  <c r="DB385" i="11"/>
  <c r="CX385" i="11"/>
  <c r="CT385" i="11"/>
  <c r="CP385" i="11"/>
  <c r="CL385" i="11"/>
  <c r="CH385" i="11"/>
  <c r="DA385" i="11"/>
  <c r="CW385" i="11"/>
  <c r="CS385" i="11"/>
  <c r="CO385" i="11"/>
  <c r="CK385" i="11"/>
  <c r="CG385" i="11"/>
  <c r="CZ385" i="11"/>
  <c r="CV385" i="11"/>
  <c r="CR385" i="11"/>
  <c r="CN385" i="11"/>
  <c r="CJ385" i="11"/>
  <c r="CQ385" i="11"/>
  <c r="CY385" i="11"/>
  <c r="CI385" i="11"/>
  <c r="CU385" i="11"/>
  <c r="CM385" i="11"/>
  <c r="CS373" i="11"/>
  <c r="DA389" i="11"/>
  <c r="CW389" i="11"/>
  <c r="CS389" i="11"/>
  <c r="CO389" i="11"/>
  <c r="CK389" i="11"/>
  <c r="CG389" i="11"/>
  <c r="CC389" i="11"/>
  <c r="CZ389" i="11"/>
  <c r="CV389" i="11"/>
  <c r="CR389" i="11"/>
  <c r="CN389" i="11"/>
  <c r="CJ389" i="11"/>
  <c r="CF389" i="11"/>
  <c r="CY389" i="11"/>
  <c r="CQ389" i="11"/>
  <c r="CI389" i="11"/>
  <c r="CX389" i="11"/>
  <c r="CP389" i="11"/>
  <c r="CH389" i="11"/>
  <c r="DB389" i="11"/>
  <c r="CL389" i="11"/>
  <c r="CU389" i="11"/>
  <c r="CE389" i="11"/>
  <c r="CT389" i="11"/>
  <c r="CD389" i="11"/>
  <c r="CM389" i="11"/>
  <c r="CZ373" i="11"/>
  <c r="CV373" i="11"/>
  <c r="DB373" i="11"/>
  <c r="CX373" i="11"/>
  <c r="CT373" i="11"/>
  <c r="CS377" i="11"/>
  <c r="CS379" i="11"/>
  <c r="CZ377" i="11"/>
  <c r="CV377" i="11"/>
  <c r="CR377" i="11"/>
  <c r="DB377" i="11"/>
  <c r="CX377" i="11"/>
  <c r="CT377" i="11"/>
  <c r="CP377" i="11"/>
  <c r="DB379" i="11"/>
  <c r="CX379" i="11"/>
  <c r="CT379" i="11"/>
  <c r="CP379" i="11"/>
  <c r="CZ379" i="11"/>
  <c r="CV379" i="11"/>
  <c r="CR379" i="11"/>
  <c r="CN379" i="11"/>
  <c r="CW372" i="11"/>
  <c r="CO377" i="11"/>
  <c r="CW377" i="11"/>
  <c r="CO379" i="11"/>
  <c r="CW379" i="11"/>
  <c r="DA381" i="11"/>
  <c r="CW381" i="11"/>
  <c r="CS381" i="11"/>
  <c r="CO381" i="11"/>
  <c r="CK381" i="11"/>
  <c r="CZ381" i="11"/>
  <c r="CV381" i="11"/>
  <c r="CR381" i="11"/>
  <c r="CN381" i="11"/>
  <c r="DB381" i="11"/>
  <c r="CT381" i="11"/>
  <c r="CL381" i="11"/>
  <c r="CX381" i="11"/>
  <c r="CP381" i="11"/>
  <c r="CO378" i="11"/>
  <c r="CS378" i="11"/>
  <c r="CW378" i="11"/>
  <c r="CK384" i="11"/>
  <c r="CO384" i="11"/>
  <c r="CS384" i="11"/>
  <c r="CW384" i="11"/>
  <c r="DA384" i="11"/>
  <c r="CL386" i="11"/>
  <c r="CS386" i="11"/>
  <c r="DA386" i="11"/>
  <c r="CN382" i="11"/>
  <c r="CR382" i="11"/>
  <c r="CV382" i="11"/>
  <c r="CZ382" i="11"/>
  <c r="CH384" i="11"/>
  <c r="CL384" i="11"/>
  <c r="CP384" i="11"/>
  <c r="CT384" i="11"/>
  <c r="CX384" i="11"/>
  <c r="CG386" i="11"/>
  <c r="CM386" i="11"/>
  <c r="CU386" i="11"/>
  <c r="CZ386" i="11"/>
  <c r="CV386" i="11"/>
  <c r="CR386" i="11"/>
  <c r="CN386" i="11"/>
  <c r="CJ386" i="11"/>
  <c r="CF386" i="11"/>
  <c r="CY386" i="11"/>
  <c r="CT386" i="11"/>
  <c r="CO386" i="11"/>
  <c r="CI386" i="11"/>
  <c r="DB388" i="11"/>
  <c r="CX388" i="11"/>
  <c r="CT388" i="11"/>
  <c r="CP388" i="11"/>
  <c r="CL388" i="11"/>
  <c r="CH388" i="11"/>
  <c r="CD388" i="11"/>
  <c r="DA391" i="11"/>
  <c r="CW391" i="11"/>
  <c r="CS391" i="11"/>
  <c r="CO391" i="11"/>
  <c r="CK391" i="11"/>
  <c r="CG391" i="11"/>
  <c r="CC391" i="11"/>
  <c r="CB390" i="11"/>
  <c r="CF390" i="11"/>
  <c r="CJ390" i="11"/>
  <c r="CN390" i="11"/>
  <c r="CR390" i="11"/>
  <c r="CV390" i="11"/>
  <c r="CZ390" i="11"/>
  <c r="CD391" i="11"/>
  <c r="CI391" i="11"/>
  <c r="CN391" i="11"/>
  <c r="CT391" i="11"/>
  <c r="CY391" i="11"/>
  <c r="DB395" i="11"/>
  <c r="CX395" i="11"/>
  <c r="CT395" i="11"/>
  <c r="CP395" i="11"/>
  <c r="CL395" i="11"/>
  <c r="CH395" i="11"/>
  <c r="CD395" i="11"/>
  <c r="BZ395" i="11"/>
  <c r="DA395" i="11"/>
  <c r="CW395" i="11"/>
  <c r="CS395" i="11"/>
  <c r="CO395" i="11"/>
  <c r="CK395" i="11"/>
  <c r="CG395" i="11"/>
  <c r="CC395" i="11"/>
  <c r="BY395" i="11"/>
  <c r="CZ395" i="11"/>
  <c r="CV395" i="11"/>
  <c r="CR395" i="11"/>
  <c r="CN395" i="11"/>
  <c r="CJ395" i="11"/>
  <c r="CF395" i="11"/>
  <c r="CB395" i="11"/>
  <c r="BX395" i="11"/>
  <c r="CY395" i="11"/>
  <c r="CI395" i="11"/>
  <c r="CU395" i="11"/>
  <c r="CE395" i="11"/>
  <c r="CQ395" i="11"/>
  <c r="CA395" i="11"/>
  <c r="CD392" i="11"/>
  <c r="CH392" i="11"/>
  <c r="CL392" i="11"/>
  <c r="CP392" i="11"/>
  <c r="CT392" i="11"/>
  <c r="CX392" i="11"/>
  <c r="DB392" i="11"/>
  <c r="CB392" i="11"/>
  <c r="CF392" i="11"/>
  <c r="CJ392" i="11"/>
  <c r="CN392" i="11"/>
  <c r="CR392" i="11"/>
  <c r="CV392" i="11"/>
  <c r="CZ392" i="11"/>
  <c r="CC394" i="11"/>
  <c r="CG394" i="11"/>
  <c r="CK394" i="11"/>
  <c r="CO394" i="11"/>
  <c r="CS394" i="11"/>
  <c r="CW394" i="11"/>
  <c r="BV398" i="11"/>
  <c r="BZ398" i="11"/>
  <c r="CD398" i="11"/>
  <c r="CH398" i="11"/>
  <c r="CL398" i="11"/>
  <c r="CP398" i="11"/>
  <c r="CT398" i="11"/>
  <c r="CX398" i="11"/>
  <c r="BD100" i="1" l="1"/>
  <c r="BD98" i="1"/>
  <c r="BK232" i="1" s="1"/>
  <c r="BK254" i="1" s="1"/>
  <c r="BD99" i="1"/>
  <c r="BK243" i="1" s="1"/>
  <c r="BN98" i="1"/>
  <c r="BO232" i="1" s="1"/>
  <c r="BO254" i="1" s="1"/>
  <c r="BN100" i="1"/>
  <c r="BN99" i="1"/>
  <c r="BO243" i="1" s="1"/>
  <c r="BB110" i="1"/>
  <c r="AK106" i="1"/>
  <c r="G172" i="1"/>
  <c r="I172" i="1" s="1"/>
  <c r="AC33" i="1"/>
  <c r="Y34" i="1"/>
  <c r="AA33" i="1"/>
  <c r="AB33" i="1"/>
  <c r="Z33" i="1"/>
  <c r="Z58" i="1"/>
  <c r="Z59" i="1" s="1"/>
  <c r="Z60" i="1" s="1"/>
  <c r="AA58" i="1"/>
  <c r="AB58" i="1"/>
  <c r="AC58" i="1"/>
  <c r="Y59" i="1"/>
  <c r="Y60" i="1" s="1"/>
  <c r="Y61" i="1" s="1"/>
  <c r="AG31" i="1"/>
  <c r="AN32" i="1" s="1"/>
  <c r="J61" i="12"/>
  <c r="J54" i="12"/>
  <c r="AS19" i="1"/>
  <c r="AS21" i="1"/>
  <c r="AL20" i="1"/>
  <c r="AS29" i="1"/>
  <c r="AL29" i="1"/>
  <c r="AL24" i="1"/>
  <c r="AL22" i="1"/>
  <c r="AL23" i="1"/>
  <c r="AI31" i="1"/>
  <c r="AL28" i="1"/>
  <c r="AH31" i="1"/>
  <c r="AO32" i="1" s="1"/>
  <c r="AP31" i="1"/>
  <c r="AL21" i="1"/>
  <c r="AS28" i="1"/>
  <c r="AS26" i="1"/>
  <c r="AO31" i="1"/>
  <c r="AL26" i="1"/>
  <c r="AS22" i="1"/>
  <c r="AN31" i="1"/>
  <c r="AS20" i="1"/>
  <c r="AS23" i="1"/>
  <c r="AS27" i="1"/>
  <c r="AS25" i="1"/>
  <c r="AS24" i="1"/>
  <c r="AS30" i="1"/>
  <c r="AL27" i="1"/>
  <c r="AL25" i="1"/>
  <c r="AL30" i="1"/>
  <c r="BN92" i="1"/>
  <c r="L46" i="12"/>
  <c r="BL110" i="1"/>
  <c r="BO110" i="1" s="1"/>
  <c r="L40" i="12"/>
  <c r="L47" i="12"/>
  <c r="BG214" i="1"/>
  <c r="BO214" i="1" s="1"/>
  <c r="AM68" i="12"/>
  <c r="AG68" i="12"/>
  <c r="L43" i="12"/>
  <c r="L42" i="12"/>
  <c r="L41" i="12"/>
  <c r="L45" i="12"/>
  <c r="AM152" i="1"/>
  <c r="BB152" i="1"/>
  <c r="BE152" i="1" s="1"/>
  <c r="BL109" i="1"/>
  <c r="BO109" i="1" s="1"/>
  <c r="BB109" i="1"/>
  <c r="BE109" i="1" s="1"/>
  <c r="L38" i="12"/>
  <c r="BN121" i="1"/>
  <c r="BN122" i="1" s="1"/>
  <c r="BB43" i="1"/>
  <c r="BK43" i="1"/>
  <c r="BP43" i="1" s="1"/>
  <c r="BN93" i="1"/>
  <c r="BM42" i="1"/>
  <c r="L44" i="12"/>
  <c r="AL56" i="1"/>
  <c r="L37" i="12"/>
  <c r="L39" i="12"/>
  <c r="AI106" i="1"/>
  <c r="BD110" i="1"/>
  <c r="AO51" i="12"/>
  <c r="AL77" i="1"/>
  <c r="AH57" i="1"/>
  <c r="BC43" i="1"/>
  <c r="L36" i="12"/>
  <c r="BD154" i="1"/>
  <c r="BB93" i="1"/>
  <c r="BB94" i="1"/>
  <c r="BD92" i="1"/>
  <c r="BD214" i="1" s="1"/>
  <c r="BK214" i="1" s="1"/>
  <c r="AM153" i="1"/>
  <c r="BB153" i="1"/>
  <c r="BE153" i="1" s="1"/>
  <c r="AM154" i="1"/>
  <c r="BC110" i="1"/>
  <c r="BB114" i="1"/>
  <c r="F89" i="1"/>
  <c r="CQ21" i="1"/>
  <c r="CR21" i="1" s="1"/>
  <c r="F47" i="1"/>
  <c r="AD56" i="1"/>
  <c r="CA19" i="1"/>
  <c r="F112" i="1"/>
  <c r="F22" i="1"/>
  <c r="F66" i="1" s="1"/>
  <c r="M1" i="8"/>
  <c r="L6" i="8"/>
  <c r="L7" i="8"/>
  <c r="L8" i="8"/>
  <c r="L9" i="8"/>
  <c r="L10" i="8"/>
  <c r="L11" i="8"/>
  <c r="L12" i="8"/>
  <c r="L13" i="8"/>
  <c r="L14"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5" i="8"/>
  <c r="H1" i="8"/>
  <c r="BN127" i="1" l="1"/>
  <c r="BN129" i="1" s="1"/>
  <c r="BN128" i="1"/>
  <c r="G121" i="1"/>
  <c r="I121" i="1" s="1"/>
  <c r="AL106" i="1"/>
  <c r="AJ105" i="1"/>
  <c r="AJ39" i="12" s="1"/>
  <c r="AP39" i="12" s="1"/>
  <c r="AC34" i="1"/>
  <c r="AC35" i="1" s="1"/>
  <c r="AC36" i="1"/>
  <c r="AC37" i="1" s="1"/>
  <c r="AB34" i="1"/>
  <c r="AB35" i="1" s="1"/>
  <c r="AB36" i="1"/>
  <c r="AB37" i="1" s="1"/>
  <c r="AA34" i="1"/>
  <c r="AA35" i="1" s="1"/>
  <c r="AA36" i="1"/>
  <c r="AA37" i="1" s="1"/>
  <c r="AB59" i="1"/>
  <c r="AB60" i="1" s="1"/>
  <c r="AB61" i="1"/>
  <c r="AC59" i="1"/>
  <c r="AC60" i="1" s="1"/>
  <c r="AC61" i="1"/>
  <c r="AA59" i="1"/>
  <c r="AA60" i="1" s="1"/>
  <c r="AA62" i="1" s="1"/>
  <c r="AA61" i="1"/>
  <c r="Z61" i="1"/>
  <c r="Z62" i="1" s="1"/>
  <c r="AP56" i="12"/>
  <c r="M53" i="12" s="1"/>
  <c r="AJ68" i="12"/>
  <c r="AK68" i="12" s="1"/>
  <c r="AL31" i="1"/>
  <c r="AL32" i="1"/>
  <c r="AG33" i="1" s="1"/>
  <c r="AG34" i="1" s="1"/>
  <c r="AL78" i="1"/>
  <c r="AS31" i="1"/>
  <c r="D40" i="12"/>
  <c r="BL121" i="1"/>
  <c r="BL122" i="1" s="1"/>
  <c r="BL128" i="1" s="1"/>
  <c r="BO121" i="1"/>
  <c r="BN124" i="1"/>
  <c r="BN123" i="1"/>
  <c r="BC42" i="1"/>
  <c r="BL44" i="1" s="1"/>
  <c r="BL42" i="1"/>
  <c r="BD44" i="1"/>
  <c r="BM44" i="1"/>
  <c r="BK42" i="1"/>
  <c r="BB42" i="1"/>
  <c r="AJ106" i="1"/>
  <c r="AJ40" i="12" s="1"/>
  <c r="AP40" i="12" s="1"/>
  <c r="BE110" i="1"/>
  <c r="AI107" i="1"/>
  <c r="AL107" i="1" s="1"/>
  <c r="BD111" i="1"/>
  <c r="BG43" i="1"/>
  <c r="Y62" i="1"/>
  <c r="Y35" i="1"/>
  <c r="Y36" i="1" s="1"/>
  <c r="Z34" i="1"/>
  <c r="Z35" i="1" s="1"/>
  <c r="AL57" i="1"/>
  <c r="BD155" i="1"/>
  <c r="AE213" i="1"/>
  <c r="C40" i="12" s="1"/>
  <c r="BD94" i="1"/>
  <c r="BD93" i="1"/>
  <c r="BB154" i="1"/>
  <c r="BE154" i="1" s="1"/>
  <c r="BC111" i="1"/>
  <c r="BB115" i="1"/>
  <c r="F90" i="1"/>
  <c r="CQ22" i="1"/>
  <c r="CR22" i="1" s="1"/>
  <c r="F48" i="1"/>
  <c r="F113" i="1"/>
  <c r="F23" i="1"/>
  <c r="F67" i="1" s="1"/>
  <c r="D1" i="8"/>
  <c r="BO128" i="1" l="1"/>
  <c r="BO244" i="1" s="1"/>
  <c r="BL127" i="1"/>
  <c r="AJ58" i="1"/>
  <c r="AJ61" i="1" s="1"/>
  <c r="AK58" i="1"/>
  <c r="AH58" i="1"/>
  <c r="AG58" i="1"/>
  <c r="AI58" i="1"/>
  <c r="AI61" i="1" s="1"/>
  <c r="AP33" i="1"/>
  <c r="AQ33" i="1"/>
  <c r="AR33" i="1"/>
  <c r="AO33" i="1"/>
  <c r="AW19" i="1" s="1"/>
  <c r="AN33" i="1"/>
  <c r="AH33" i="1"/>
  <c r="AH34" i="1" s="1"/>
  <c r="AI33" i="1"/>
  <c r="AI36" i="1" s="1"/>
  <c r="AJ33" i="1"/>
  <c r="AJ36" i="1" s="1"/>
  <c r="AK33" i="1"/>
  <c r="AK36" i="1" s="1"/>
  <c r="AD60" i="1"/>
  <c r="AD59" i="1"/>
  <c r="AC62" i="1"/>
  <c r="AB62" i="1"/>
  <c r="Z36" i="1"/>
  <c r="Z37" i="1" s="1"/>
  <c r="AP68" i="12"/>
  <c r="AQ68" i="12" s="1"/>
  <c r="M61" i="12"/>
  <c r="BC44" i="1"/>
  <c r="BO122" i="1"/>
  <c r="BP122" i="1" s="1"/>
  <c r="BL123" i="1"/>
  <c r="BO123" i="1" s="1"/>
  <c r="BL124" i="1"/>
  <c r="BO124" i="1" s="1"/>
  <c r="BP42" i="1"/>
  <c r="BG42" i="1"/>
  <c r="BB44" i="1"/>
  <c r="BK44" i="1"/>
  <c r="AJ107" i="1"/>
  <c r="AJ41" i="12" s="1"/>
  <c r="AP41" i="12" s="1"/>
  <c r="BE111" i="1"/>
  <c r="AI108" i="1"/>
  <c r="AL108" i="1" s="1"/>
  <c r="BD112" i="1"/>
  <c r="AD34" i="1"/>
  <c r="Y37" i="1"/>
  <c r="BD156" i="1"/>
  <c r="AD35" i="1"/>
  <c r="AD61" i="1"/>
  <c r="BB155" i="1"/>
  <c r="BE155" i="1" s="1"/>
  <c r="AM155" i="1"/>
  <c r="BC112" i="1"/>
  <c r="BB116" i="1"/>
  <c r="F91" i="1"/>
  <c r="CQ23" i="1"/>
  <c r="CR23" i="1" s="1"/>
  <c r="F49" i="1"/>
  <c r="F114" i="1"/>
  <c r="F24" i="1"/>
  <c r="F68" i="1" s="1"/>
  <c r="H5" i="8"/>
  <c r="A357" i="11"/>
  <c r="B357" i="11" s="1"/>
  <c r="BY358" i="11" s="1"/>
  <c r="A358" i="11"/>
  <c r="I5" i="8"/>
  <c r="H4" i="8" l="1"/>
  <c r="J4" i="8"/>
  <c r="J79" i="8"/>
  <c r="J80" i="8"/>
  <c r="J88" i="8"/>
  <c r="H81" i="8"/>
  <c r="J76" i="8"/>
  <c r="H87" i="8"/>
  <c r="J81" i="8"/>
  <c r="J77" i="8"/>
  <c r="H82" i="8"/>
  <c r="J83" i="8"/>
  <c r="H86" i="8"/>
  <c r="J87" i="8"/>
  <c r="J82" i="8"/>
  <c r="J65" i="8"/>
  <c r="H83" i="8"/>
  <c r="H84" i="8"/>
  <c r="J78" i="8"/>
  <c r="H88" i="8"/>
  <c r="H79" i="8"/>
  <c r="J84" i="8"/>
  <c r="H77" i="8"/>
  <c r="H85" i="8"/>
  <c r="J85" i="8"/>
  <c r="H78" i="8"/>
  <c r="J86" i="8"/>
  <c r="H80" i="8"/>
  <c r="BO127" i="1"/>
  <c r="BO233" i="1" s="1"/>
  <c r="BO255" i="1" s="1"/>
  <c r="BL129" i="1"/>
  <c r="BO129" i="1" s="1"/>
  <c r="BB45" i="1"/>
  <c r="BB57" i="1" s="1"/>
  <c r="BD45" i="1"/>
  <c r="BD58" i="1" s="1"/>
  <c r="BD59" i="1" s="1"/>
  <c r="BD64" i="1" s="1"/>
  <c r="BF45" i="1"/>
  <c r="BF58" i="1" s="1"/>
  <c r="BF59" i="1" s="1"/>
  <c r="BC45" i="1"/>
  <c r="BC57" i="1" s="1"/>
  <c r="BE45" i="1"/>
  <c r="BE57" i="1" s="1"/>
  <c r="BN45" i="1"/>
  <c r="BN57" i="1" s="1"/>
  <c r="BK45" i="1"/>
  <c r="BK57" i="1" s="1"/>
  <c r="BK58" i="1" s="1"/>
  <c r="BO45" i="1"/>
  <c r="BO57" i="1" s="1"/>
  <c r="BL45" i="1"/>
  <c r="BL57" i="1" s="1"/>
  <c r="BL58" i="1" s="1"/>
  <c r="BL59" i="1" s="1"/>
  <c r="BL64" i="1" s="1"/>
  <c r="BM45" i="1"/>
  <c r="BM58" i="1" s="1"/>
  <c r="BM59" i="1" s="1"/>
  <c r="BM64" i="1" s="1"/>
  <c r="AJ34" i="1"/>
  <c r="AJ35" i="1" s="1"/>
  <c r="AJ37" i="1" s="1"/>
  <c r="AK34" i="1"/>
  <c r="AK35" i="1" s="1"/>
  <c r="AK37" i="1"/>
  <c r="AD62" i="1"/>
  <c r="AT25" i="1"/>
  <c r="AV25" i="1" s="1"/>
  <c r="AK59" i="1"/>
  <c r="AK60" i="1" s="1"/>
  <c r="AK61" i="1"/>
  <c r="AI34" i="1"/>
  <c r="AI35" i="1" s="1"/>
  <c r="AI37" i="1" s="1"/>
  <c r="AT20" i="1"/>
  <c r="AV20" i="1" s="1"/>
  <c r="AT19" i="1"/>
  <c r="AU19" i="1" s="1"/>
  <c r="AJ59" i="1"/>
  <c r="AJ60" i="1" s="1"/>
  <c r="AJ62" i="1" s="1"/>
  <c r="AQ50" i="1"/>
  <c r="AQ53" i="1"/>
  <c r="AQ47" i="1"/>
  <c r="AQ55" i="1"/>
  <c r="AQ52" i="1"/>
  <c r="AQ49" i="1"/>
  <c r="AQ44" i="1"/>
  <c r="AQ46" i="1"/>
  <c r="AQ54" i="1"/>
  <c r="AQ51" i="1"/>
  <c r="AQ45" i="1"/>
  <c r="AQ48" i="1"/>
  <c r="AT21" i="1"/>
  <c r="AV21" i="1" s="1"/>
  <c r="AH59" i="1"/>
  <c r="AH60" i="1" s="1"/>
  <c r="AO52" i="1"/>
  <c r="AO47" i="1"/>
  <c r="AO49" i="1"/>
  <c r="AO55" i="1"/>
  <c r="AO46" i="1"/>
  <c r="AO54" i="1"/>
  <c r="AO51" i="1"/>
  <c r="AO48" i="1"/>
  <c r="AO45" i="1"/>
  <c r="AO53" i="1"/>
  <c r="AO50" i="1"/>
  <c r="AO44" i="1"/>
  <c r="AI59" i="1"/>
  <c r="AI60" i="1" s="1"/>
  <c r="AI62" i="1" s="1"/>
  <c r="AP47" i="1"/>
  <c r="AP55" i="1"/>
  <c r="AP52" i="1"/>
  <c r="AP49" i="1"/>
  <c r="AP46" i="1"/>
  <c r="AP54" i="1"/>
  <c r="AP51" i="1"/>
  <c r="AP48" i="1"/>
  <c r="AP50" i="1"/>
  <c r="AP45" i="1"/>
  <c r="AP53" i="1"/>
  <c r="AP44" i="1"/>
  <c r="AN49" i="1"/>
  <c r="AN44" i="1"/>
  <c r="AN46" i="1"/>
  <c r="AN54" i="1"/>
  <c r="AN51" i="1"/>
  <c r="AN52" i="1"/>
  <c r="AN48" i="1"/>
  <c r="AN50" i="1"/>
  <c r="AN45" i="1"/>
  <c r="AN53" i="1"/>
  <c r="AN47" i="1"/>
  <c r="AN55" i="1"/>
  <c r="AG59" i="1"/>
  <c r="AG60" i="1" s="1"/>
  <c r="AT28" i="1"/>
  <c r="AV28" i="1" s="1"/>
  <c r="AT29" i="1"/>
  <c r="AV29" i="1" s="1"/>
  <c r="AT22" i="1"/>
  <c r="AV22" i="1" s="1"/>
  <c r="AW20" i="1"/>
  <c r="AW28" i="1"/>
  <c r="AW21" i="1"/>
  <c r="AW29" i="1"/>
  <c r="AW27" i="1"/>
  <c r="AW22" i="1"/>
  <c r="AW30" i="1"/>
  <c r="AW25" i="1"/>
  <c r="AW23" i="1"/>
  <c r="AW24" i="1"/>
  <c r="AW26" i="1"/>
  <c r="AT27" i="1"/>
  <c r="AV27" i="1" s="1"/>
  <c r="AT24" i="1"/>
  <c r="AV24" i="1" s="1"/>
  <c r="AT26" i="1"/>
  <c r="AV26" i="1" s="1"/>
  <c r="AT30" i="1"/>
  <c r="AV30" i="1" s="1"/>
  <c r="AH35" i="1"/>
  <c r="AG35" i="1"/>
  <c r="AG36" i="1" s="1"/>
  <c r="AT23" i="1"/>
  <c r="AV23" i="1" s="1"/>
  <c r="BG215" i="1"/>
  <c r="BO215" i="1" s="1"/>
  <c r="AJ108" i="1"/>
  <c r="AJ42" i="12" s="1"/>
  <c r="AP42" i="12" s="1"/>
  <c r="BE112" i="1"/>
  <c r="AI109" i="1"/>
  <c r="AL109" i="1" s="1"/>
  <c r="BD113" i="1"/>
  <c r="BY380" i="11"/>
  <c r="BY387" i="11"/>
  <c r="BY378" i="11"/>
  <c r="BY384" i="11"/>
  <c r="BY382" i="11"/>
  <c r="BY392" i="11"/>
  <c r="BY385" i="11"/>
  <c r="BY379" i="11"/>
  <c r="BY383" i="11"/>
  <c r="BY391" i="11"/>
  <c r="BY389" i="11"/>
  <c r="BY381" i="11"/>
  <c r="BY388" i="11"/>
  <c r="BY377" i="11"/>
  <c r="BY390" i="11"/>
  <c r="BY386" i="11"/>
  <c r="BD157" i="1"/>
  <c r="AD36" i="1"/>
  <c r="AD37" i="1"/>
  <c r="BB156" i="1"/>
  <c r="BE156" i="1" s="1"/>
  <c r="AM156" i="1"/>
  <c r="BC113" i="1"/>
  <c r="BB117" i="1"/>
  <c r="F92" i="1"/>
  <c r="CQ24" i="1"/>
  <c r="CR24" i="1" s="1"/>
  <c r="F50" i="1"/>
  <c r="F115" i="1"/>
  <c r="F25" i="1"/>
  <c r="F69" i="1" s="1"/>
  <c r="J6" i="8"/>
  <c r="J10" i="8"/>
  <c r="J14" i="8"/>
  <c r="H10" i="8"/>
  <c r="H14" i="8"/>
  <c r="H18" i="8"/>
  <c r="H22" i="8"/>
  <c r="H26" i="8"/>
  <c r="H30" i="8"/>
  <c r="H34" i="8"/>
  <c r="H38" i="8"/>
  <c r="H42" i="8"/>
  <c r="H46" i="8"/>
  <c r="H50" i="8"/>
  <c r="H54" i="8"/>
  <c r="H58" i="8"/>
  <c r="H62" i="8"/>
  <c r="H66" i="8"/>
  <c r="H70" i="8"/>
  <c r="H74" i="8"/>
  <c r="J7" i="8"/>
  <c r="J11" i="8"/>
  <c r="J15" i="8"/>
  <c r="H7" i="8"/>
  <c r="H11" i="8"/>
  <c r="H15" i="8"/>
  <c r="H19" i="8"/>
  <c r="H23" i="8"/>
  <c r="H27" i="8"/>
  <c r="H31" i="8"/>
  <c r="H35" i="8"/>
  <c r="H39" i="8"/>
  <c r="H43" i="8"/>
  <c r="H51" i="8"/>
  <c r="H55" i="8"/>
  <c r="H59" i="8"/>
  <c r="H63" i="8"/>
  <c r="H67" i="8"/>
  <c r="H71" i="8"/>
  <c r="H75" i="8"/>
  <c r="H47" i="8"/>
  <c r="J8" i="8"/>
  <c r="J12" i="8"/>
  <c r="J16" i="8"/>
  <c r="H8" i="8"/>
  <c r="H12" i="8"/>
  <c r="H16" i="8"/>
  <c r="H20" i="8"/>
  <c r="H24" i="8"/>
  <c r="H28" i="8"/>
  <c r="H32" i="8"/>
  <c r="H36" i="8"/>
  <c r="H40" i="8"/>
  <c r="H44" i="8"/>
  <c r="H48" i="8"/>
  <c r="H52" i="8"/>
  <c r="H56" i="8"/>
  <c r="H60" i="8"/>
  <c r="H64" i="8"/>
  <c r="H68" i="8"/>
  <c r="H72" i="8"/>
  <c r="H76" i="8"/>
  <c r="J9" i="8"/>
  <c r="J13" i="8"/>
  <c r="J5" i="8"/>
  <c r="H9" i="8"/>
  <c r="H13" i="8"/>
  <c r="H17" i="8"/>
  <c r="H21" i="8"/>
  <c r="H25" i="8"/>
  <c r="H29" i="8"/>
  <c r="H33" i="8"/>
  <c r="H37" i="8"/>
  <c r="H41" i="8"/>
  <c r="H45" i="8"/>
  <c r="H49" i="8"/>
  <c r="H53" i="8"/>
  <c r="H57" i="8"/>
  <c r="H61" i="8"/>
  <c r="H65" i="8"/>
  <c r="H69" i="8"/>
  <c r="H73" i="8"/>
  <c r="H6" i="8"/>
  <c r="J22" i="8"/>
  <c r="J19" i="8"/>
  <c r="J73" i="8"/>
  <c r="J40" i="8"/>
  <c r="J62" i="8"/>
  <c r="J24" i="8"/>
  <c r="J17" i="8"/>
  <c r="J49" i="8"/>
  <c r="J30" i="8"/>
  <c r="J60" i="8"/>
  <c r="J69" i="8"/>
  <c r="J31" i="8"/>
  <c r="J53" i="8"/>
  <c r="J61" i="8"/>
  <c r="J52" i="8"/>
  <c r="J41" i="8"/>
  <c r="J47" i="8"/>
  <c r="J45" i="8"/>
  <c r="J51" i="8"/>
  <c r="J68" i="8"/>
  <c r="J63" i="8"/>
  <c r="J48" i="8"/>
  <c r="J74" i="8"/>
  <c r="J34" i="8"/>
  <c r="J21" i="8"/>
  <c r="J20" i="8"/>
  <c r="J42" i="8"/>
  <c r="J59" i="8"/>
  <c r="J70" i="8"/>
  <c r="J39" i="8"/>
  <c r="J54" i="8"/>
  <c r="J36" i="8"/>
  <c r="J71" i="8"/>
  <c r="J33" i="8"/>
  <c r="J27" i="8"/>
  <c r="J38" i="8"/>
  <c r="J44" i="8"/>
  <c r="J55" i="8"/>
  <c r="J66" i="8"/>
  <c r="J72" i="8"/>
  <c r="J32" i="8"/>
  <c r="J56" i="8"/>
  <c r="CH358" i="11"/>
  <c r="I358" i="11"/>
  <c r="AO358" i="11"/>
  <c r="BU358" i="11"/>
  <c r="DA358" i="11"/>
  <c r="CX358" i="11"/>
  <c r="AP358" i="11"/>
  <c r="BV358" i="11"/>
  <c r="DB358" i="11"/>
  <c r="BB358" i="11"/>
  <c r="E358" i="11"/>
  <c r="AK358" i="11"/>
  <c r="BQ358" i="11"/>
  <c r="CW358" i="11"/>
  <c r="C358" i="11"/>
  <c r="S358" i="11"/>
  <c r="AI358" i="11"/>
  <c r="AY358" i="11"/>
  <c r="BO358" i="11"/>
  <c r="CE358" i="11"/>
  <c r="CU358" i="11"/>
  <c r="H358" i="11"/>
  <c r="X358" i="11"/>
  <c r="AN358" i="11"/>
  <c r="BD358" i="11"/>
  <c r="BD398" i="11" s="1"/>
  <c r="BT358" i="11"/>
  <c r="CJ358" i="11"/>
  <c r="CZ358" i="11"/>
  <c r="N358" i="11"/>
  <c r="Q358" i="11"/>
  <c r="AW358" i="11"/>
  <c r="CC358" i="11"/>
  <c r="V358" i="11"/>
  <c r="J358" i="11"/>
  <c r="AX358" i="11"/>
  <c r="CD358" i="11"/>
  <c r="BZ358" i="11"/>
  <c r="M358" i="11"/>
  <c r="AS358" i="11"/>
  <c r="G358" i="11"/>
  <c r="W358" i="11"/>
  <c r="AM358" i="11"/>
  <c r="BC358" i="11"/>
  <c r="BS358" i="11"/>
  <c r="CI358" i="11"/>
  <c r="CY358" i="11"/>
  <c r="L358" i="11"/>
  <c r="AB358" i="11"/>
  <c r="AR358" i="11"/>
  <c r="AR398" i="11" s="1"/>
  <c r="BH358" i="11"/>
  <c r="BX358" i="11"/>
  <c r="CN358" i="11"/>
  <c r="CS358" i="11"/>
  <c r="BI358" i="11"/>
  <c r="T358" i="11"/>
  <c r="BP358" i="11"/>
  <c r="CV358" i="11"/>
  <c r="AL358" i="11"/>
  <c r="Y358" i="11"/>
  <c r="BE358" i="11"/>
  <c r="CK358" i="11"/>
  <c r="AT358" i="11"/>
  <c r="R358" i="11"/>
  <c r="BF358" i="11"/>
  <c r="CL358" i="11"/>
  <c r="F358" i="11"/>
  <c r="CP358" i="11"/>
  <c r="B358" i="11"/>
  <c r="U358" i="11"/>
  <c r="BA358" i="11"/>
  <c r="CG358" i="11"/>
  <c r="K358" i="11"/>
  <c r="AA358" i="11"/>
  <c r="AQ358" i="11"/>
  <c r="BG358" i="11"/>
  <c r="BW358" i="11"/>
  <c r="CM358" i="11"/>
  <c r="P358" i="11"/>
  <c r="AF358" i="11"/>
  <c r="AV358" i="11"/>
  <c r="BL358" i="11"/>
  <c r="CB358" i="11"/>
  <c r="CR358" i="11"/>
  <c r="BM358" i="11"/>
  <c r="CO358" i="11"/>
  <c r="O358" i="11"/>
  <c r="AU358" i="11"/>
  <c r="CA358" i="11"/>
  <c r="AJ358" i="11"/>
  <c r="CF358" i="11"/>
  <c r="BJ358" i="11"/>
  <c r="AG358" i="11"/>
  <c r="BR358" i="11"/>
  <c r="Z358" i="11"/>
  <c r="BN358" i="11"/>
  <c r="CT358" i="11"/>
  <c r="AD358" i="11"/>
  <c r="AH358" i="11"/>
  <c r="AC358" i="11"/>
  <c r="AE358" i="11"/>
  <c r="BK358" i="11"/>
  <c r="CQ358" i="11"/>
  <c r="D358" i="11"/>
  <c r="AZ358" i="11"/>
  <c r="J35" i="8"/>
  <c r="J25" i="8"/>
  <c r="J28" i="8"/>
  <c r="J50" i="8"/>
  <c r="J67" i="8"/>
  <c r="J58" i="8"/>
  <c r="J23" i="8"/>
  <c r="J57" i="8"/>
  <c r="J18" i="8"/>
  <c r="J29" i="8"/>
  <c r="J64" i="8"/>
  <c r="J75" i="8"/>
  <c r="J46" i="8"/>
  <c r="J37" i="8"/>
  <c r="J26" i="8"/>
  <c r="J43" i="8"/>
  <c r="I4" i="8"/>
  <c r="I79" i="8"/>
  <c r="I12" i="8"/>
  <c r="K10" i="8"/>
  <c r="I66" i="8"/>
  <c r="I33" i="8"/>
  <c r="K9" i="8"/>
  <c r="I70" i="8"/>
  <c r="I48" i="8"/>
  <c r="I52" i="8"/>
  <c r="I14" i="8"/>
  <c r="I53" i="8"/>
  <c r="I45" i="8"/>
  <c r="I71" i="8"/>
  <c r="I84" i="8"/>
  <c r="I27" i="8"/>
  <c r="I35" i="8"/>
  <c r="I58" i="8"/>
  <c r="I67" i="8"/>
  <c r="I81" i="8"/>
  <c r="I74" i="8"/>
  <c r="I29" i="8"/>
  <c r="I61" i="8"/>
  <c r="I49" i="8"/>
  <c r="I39" i="8"/>
  <c r="I18" i="8"/>
  <c r="I40" i="8"/>
  <c r="I38" i="8"/>
  <c r="I64" i="8"/>
  <c r="I54" i="8"/>
  <c r="I15" i="8"/>
  <c r="I23" i="8"/>
  <c r="I28" i="8"/>
  <c r="K8" i="8"/>
  <c r="I25" i="8"/>
  <c r="K16" i="8"/>
  <c r="I87" i="8"/>
  <c r="K15" i="8"/>
  <c r="I30" i="8"/>
  <c r="I26" i="8"/>
  <c r="I59" i="8"/>
  <c r="I7" i="8"/>
  <c r="K11" i="8"/>
  <c r="I55" i="8"/>
  <c r="I57" i="8"/>
  <c r="I72" i="8"/>
  <c r="I86" i="8"/>
  <c r="I78" i="8"/>
  <c r="I44" i="8"/>
  <c r="I16" i="8"/>
  <c r="I60" i="8"/>
  <c r="I13" i="8"/>
  <c r="I80" i="8"/>
  <c r="I11" i="8"/>
  <c r="I10" i="8"/>
  <c r="I65" i="8"/>
  <c r="I24" i="8"/>
  <c r="I47" i="8"/>
  <c r="K5" i="8"/>
  <c r="K12" i="8"/>
  <c r="I51" i="8"/>
  <c r="I69" i="8"/>
  <c r="I46" i="8"/>
  <c r="I20" i="8"/>
  <c r="I77" i="8"/>
  <c r="I36" i="8"/>
  <c r="I85" i="8"/>
  <c r="I17" i="8"/>
  <c r="I19" i="8"/>
  <c r="I31" i="8"/>
  <c r="I56" i="8"/>
  <c r="K4" i="8"/>
  <c r="I32" i="8"/>
  <c r="I8" i="8"/>
  <c r="K14" i="8"/>
  <c r="I62" i="8"/>
  <c r="K13" i="8"/>
  <c r="I50" i="8"/>
  <c r="I22" i="8"/>
  <c r="I76" i="8"/>
  <c r="I82" i="8"/>
  <c r="I83" i="8"/>
  <c r="I37" i="8"/>
  <c r="I41" i="8"/>
  <c r="K6" i="8"/>
  <c r="I21" i="8"/>
  <c r="I73" i="8"/>
  <c r="I9" i="8"/>
  <c r="I68" i="8"/>
  <c r="I75" i="8"/>
  <c r="I34" i="8"/>
  <c r="K7" i="8"/>
  <c r="I6" i="8"/>
  <c r="I42" i="8"/>
  <c r="I63" i="8"/>
  <c r="I88" i="8"/>
  <c r="I43" i="8"/>
  <c r="K17" i="8" l="1"/>
  <c r="K29" i="8" s="1"/>
  <c r="K41" i="8" s="1"/>
  <c r="K53" i="8" s="1"/>
  <c r="K65" i="8" s="1"/>
  <c r="BM65" i="1"/>
  <c r="BM66" i="1"/>
  <c r="BL65" i="1"/>
  <c r="BL66" i="1"/>
  <c r="BM57" i="1"/>
  <c r="BP57" i="1" s="1"/>
  <c r="BQ57" i="1" s="1"/>
  <c r="BF65" i="1"/>
  <c r="BF64" i="1"/>
  <c r="BF66" i="1" s="1"/>
  <c r="BD65" i="1"/>
  <c r="BD66" i="1"/>
  <c r="BC58" i="1"/>
  <c r="BC59" i="1" s="1"/>
  <c r="BC61" i="1" s="1"/>
  <c r="AU25" i="1"/>
  <c r="AG45" i="12" s="1"/>
  <c r="AM45" i="12" s="1"/>
  <c r="AS48" i="1"/>
  <c r="AX19" i="1"/>
  <c r="AV19" i="1"/>
  <c r="AL59" i="1"/>
  <c r="AS47" i="1"/>
  <c r="AS46" i="1"/>
  <c r="AL34" i="1"/>
  <c r="AS50" i="1"/>
  <c r="AP56" i="1"/>
  <c r="AQ56" i="1"/>
  <c r="AU22" i="1"/>
  <c r="AK62" i="1"/>
  <c r="AH61" i="1"/>
  <c r="AH62" i="1" s="1"/>
  <c r="AG61" i="1"/>
  <c r="AH36" i="1"/>
  <c r="AH37" i="1" s="1"/>
  <c r="AU29" i="1"/>
  <c r="AL60" i="1"/>
  <c r="AU20" i="1"/>
  <c r="AU24" i="1"/>
  <c r="AS51" i="1"/>
  <c r="AU23" i="1"/>
  <c r="AS55" i="1"/>
  <c r="AS54" i="1"/>
  <c r="AS52" i="1"/>
  <c r="AU27" i="1"/>
  <c r="AO56" i="1"/>
  <c r="AS53" i="1"/>
  <c r="AS44" i="1"/>
  <c r="AN56" i="1"/>
  <c r="AU28" i="1"/>
  <c r="AU21" i="1"/>
  <c r="AS45" i="1"/>
  <c r="AS49" i="1"/>
  <c r="CR18" i="17"/>
  <c r="AU30" i="1"/>
  <c r="AG39" i="12"/>
  <c r="AW31" i="1"/>
  <c r="AU26" i="1"/>
  <c r="AX26" i="1" s="1"/>
  <c r="AT31" i="1"/>
  <c r="AL35" i="1"/>
  <c r="BM60" i="1"/>
  <c r="BN58" i="1"/>
  <c r="BN59" i="1" s="1"/>
  <c r="BN64" i="1" s="1"/>
  <c r="BF57" i="1"/>
  <c r="BO58" i="1"/>
  <c r="BO59" i="1" s="1"/>
  <c r="BO64" i="1" s="1"/>
  <c r="BM61" i="1"/>
  <c r="BF60" i="1"/>
  <c r="BD60" i="1"/>
  <c r="BF61" i="1"/>
  <c r="BD61" i="1"/>
  <c r="BD57" i="1"/>
  <c r="BE58" i="1"/>
  <c r="BE59" i="1" s="1"/>
  <c r="BL60" i="1"/>
  <c r="BL61" i="1"/>
  <c r="BK59" i="1"/>
  <c r="BK64" i="1" s="1"/>
  <c r="BB58" i="1"/>
  <c r="BB59" i="1" s="1"/>
  <c r="AJ109" i="1"/>
  <c r="AJ43" i="12" s="1"/>
  <c r="AP43" i="12" s="1"/>
  <c r="BE113" i="1"/>
  <c r="AI110" i="1"/>
  <c r="AL110" i="1" s="1"/>
  <c r="BD114" i="1"/>
  <c r="CM375" i="11"/>
  <c r="CM367" i="11"/>
  <c r="CM364" i="11"/>
  <c r="CM377" i="11"/>
  <c r="CM365" i="11"/>
  <c r="CM374" i="11"/>
  <c r="CM373" i="11"/>
  <c r="CM368" i="11"/>
  <c r="CM366" i="11"/>
  <c r="CM372" i="11"/>
  <c r="CM369" i="11"/>
  <c r="CM370" i="11"/>
  <c r="CM363" i="11"/>
  <c r="CM376" i="11"/>
  <c r="CM371" i="11"/>
  <c r="CM378" i="11"/>
  <c r="CS370" i="11"/>
  <c r="CS367" i="11"/>
  <c r="CS366" i="11"/>
  <c r="CS360" i="11"/>
  <c r="CS371" i="11"/>
  <c r="CS362" i="11"/>
  <c r="CS369" i="11"/>
  <c r="CS364" i="11"/>
  <c r="CS365" i="11"/>
  <c r="CS372" i="11"/>
  <c r="CS361" i="11"/>
  <c r="CS368" i="11"/>
  <c r="CS363" i="11"/>
  <c r="CS359" i="11"/>
  <c r="CI382" i="11"/>
  <c r="CI376" i="11"/>
  <c r="CI370" i="11"/>
  <c r="CI374" i="11"/>
  <c r="CI367" i="11"/>
  <c r="CI380" i="11"/>
  <c r="CI375" i="11"/>
  <c r="CI371" i="11"/>
  <c r="CI379" i="11"/>
  <c r="CI368" i="11"/>
  <c r="CI369" i="11"/>
  <c r="CI378" i="11"/>
  <c r="CI377" i="11"/>
  <c r="CI373" i="11"/>
  <c r="CI372" i="11"/>
  <c r="CI381" i="11"/>
  <c r="BZ380" i="11"/>
  <c r="BZ382" i="11"/>
  <c r="BZ378" i="11"/>
  <c r="BZ385" i="11"/>
  <c r="BZ377" i="11"/>
  <c r="BZ379" i="11"/>
  <c r="BZ388" i="11"/>
  <c r="BZ391" i="11"/>
  <c r="BZ383" i="11"/>
  <c r="BZ389" i="11"/>
  <c r="BZ384" i="11"/>
  <c r="BZ387" i="11"/>
  <c r="BZ376" i="11"/>
  <c r="BZ386" i="11"/>
  <c r="BZ390" i="11"/>
  <c r="BZ381" i="11"/>
  <c r="CU365" i="11"/>
  <c r="CU359" i="11"/>
  <c r="CU362" i="11"/>
  <c r="CU364" i="11"/>
  <c r="CU360" i="11"/>
  <c r="CU361" i="11"/>
  <c r="CU366" i="11"/>
  <c r="CU367" i="11"/>
  <c r="CU363" i="11"/>
  <c r="CU368" i="11"/>
  <c r="CU369" i="11"/>
  <c r="CU370" i="11"/>
  <c r="BQ386" i="11"/>
  <c r="BQ398" i="11"/>
  <c r="BQ391" i="11"/>
  <c r="BQ397" i="11"/>
  <c r="BQ392" i="11"/>
  <c r="BQ393" i="11"/>
  <c r="BQ396" i="11"/>
  <c r="BQ385" i="11"/>
  <c r="BQ394" i="11"/>
  <c r="BQ387" i="11"/>
  <c r="BQ388" i="11"/>
  <c r="BQ389" i="11"/>
  <c r="BQ395" i="11"/>
  <c r="BQ390" i="11"/>
  <c r="DA362" i="11"/>
  <c r="DA360" i="11"/>
  <c r="DA359" i="11"/>
  <c r="DA361" i="11"/>
  <c r="DA364" i="11"/>
  <c r="DA363" i="11"/>
  <c r="BR391" i="11"/>
  <c r="BR398" i="11"/>
  <c r="BR394" i="11"/>
  <c r="BR385" i="11"/>
  <c r="BR384" i="11"/>
  <c r="BR388" i="11"/>
  <c r="BR395" i="11"/>
  <c r="BR387" i="11"/>
  <c r="BR393" i="11"/>
  <c r="BR389" i="11"/>
  <c r="BR386" i="11"/>
  <c r="BR390" i="11"/>
  <c r="BR397" i="11"/>
  <c r="BR392" i="11"/>
  <c r="BR396" i="11"/>
  <c r="BW385" i="11"/>
  <c r="BW379" i="11"/>
  <c r="BW392" i="11"/>
  <c r="BW386" i="11"/>
  <c r="BW383" i="11"/>
  <c r="BW384" i="11"/>
  <c r="BW391" i="11"/>
  <c r="BW387" i="11"/>
  <c r="BW390" i="11"/>
  <c r="BW380" i="11"/>
  <c r="BW382" i="11"/>
  <c r="BW389" i="11"/>
  <c r="BW394" i="11"/>
  <c r="BW388" i="11"/>
  <c r="BW381" i="11"/>
  <c r="BW393" i="11"/>
  <c r="BE397" i="11"/>
  <c r="BE398" i="11"/>
  <c r="CN372" i="11"/>
  <c r="CN366" i="11"/>
  <c r="CN374" i="11"/>
  <c r="CN367" i="11"/>
  <c r="CN365" i="11"/>
  <c r="CN373" i="11"/>
  <c r="CN362" i="11"/>
  <c r="CN371" i="11"/>
  <c r="CN368" i="11"/>
  <c r="CN370" i="11"/>
  <c r="CN364" i="11"/>
  <c r="CN377" i="11"/>
  <c r="CN363" i="11"/>
  <c r="CN375" i="11"/>
  <c r="CN369" i="11"/>
  <c r="CN376" i="11"/>
  <c r="BS392" i="11"/>
  <c r="BS386" i="11"/>
  <c r="BS388" i="11"/>
  <c r="BS387" i="11"/>
  <c r="BS398" i="11"/>
  <c r="BS383" i="11"/>
  <c r="BS385" i="11"/>
  <c r="BS391" i="11"/>
  <c r="BS396" i="11"/>
  <c r="BS397" i="11"/>
  <c r="BS384" i="11"/>
  <c r="BS393" i="11"/>
  <c r="BS394" i="11"/>
  <c r="BS390" i="11"/>
  <c r="BS389" i="11"/>
  <c r="BS395" i="11"/>
  <c r="CD378" i="11"/>
  <c r="CD374" i="11"/>
  <c r="CD387" i="11"/>
  <c r="CD383" i="11"/>
  <c r="CD381" i="11"/>
  <c r="CD380" i="11"/>
  <c r="CD372" i="11"/>
  <c r="CD376" i="11"/>
  <c r="CD375" i="11"/>
  <c r="CD373" i="11"/>
  <c r="CD382" i="11"/>
  <c r="CD384" i="11"/>
  <c r="CD386" i="11"/>
  <c r="CD385" i="11"/>
  <c r="CD377" i="11"/>
  <c r="CD379" i="11"/>
  <c r="CZ364" i="11"/>
  <c r="CZ362" i="11"/>
  <c r="CZ360" i="11"/>
  <c r="CZ359" i="11"/>
  <c r="CZ365" i="11"/>
  <c r="CZ363" i="11"/>
  <c r="CZ361" i="11"/>
  <c r="CE371" i="11"/>
  <c r="CE374" i="11"/>
  <c r="CE378" i="11"/>
  <c r="CE383" i="11"/>
  <c r="CE372" i="11"/>
  <c r="CE386" i="11"/>
  <c r="CE381" i="11"/>
  <c r="CE379" i="11"/>
  <c r="CE373" i="11"/>
  <c r="CE380" i="11"/>
  <c r="CE375" i="11"/>
  <c r="CE385" i="11"/>
  <c r="CE377" i="11"/>
  <c r="CE382" i="11"/>
  <c r="CE384" i="11"/>
  <c r="CE376" i="11"/>
  <c r="BU386" i="11"/>
  <c r="BU394" i="11"/>
  <c r="BU393" i="11"/>
  <c r="BU396" i="11"/>
  <c r="BU382" i="11"/>
  <c r="BU391" i="11"/>
  <c r="BU385" i="11"/>
  <c r="BU383" i="11"/>
  <c r="BU388" i="11"/>
  <c r="BU392" i="11"/>
  <c r="BU390" i="11"/>
  <c r="BU389" i="11"/>
  <c r="BU395" i="11"/>
  <c r="BU381" i="11"/>
  <c r="BU384" i="11"/>
  <c r="BU387" i="11"/>
  <c r="BG396" i="11"/>
  <c r="BG395" i="11"/>
  <c r="BG397" i="11"/>
  <c r="BG398" i="11"/>
  <c r="BK398" i="11"/>
  <c r="BK391" i="11"/>
  <c r="BK392" i="11"/>
  <c r="BK395" i="11"/>
  <c r="BK393" i="11"/>
  <c r="BK394" i="11"/>
  <c r="BK396" i="11"/>
  <c r="BK397" i="11"/>
  <c r="CK380" i="11"/>
  <c r="CK375" i="11"/>
  <c r="CK379" i="11"/>
  <c r="CK366" i="11"/>
  <c r="CK376" i="11"/>
  <c r="CK368" i="11"/>
  <c r="CK369" i="11"/>
  <c r="CK371" i="11"/>
  <c r="CK367" i="11"/>
  <c r="CK372" i="11"/>
  <c r="CK374" i="11"/>
  <c r="CK373" i="11"/>
  <c r="CK378" i="11"/>
  <c r="CK377" i="11"/>
  <c r="CK370" i="11"/>
  <c r="CK365" i="11"/>
  <c r="BX393" i="11"/>
  <c r="BX379" i="11"/>
  <c r="BX390" i="11"/>
  <c r="BX392" i="11"/>
  <c r="BX382" i="11"/>
  <c r="BX384" i="11"/>
  <c r="BX387" i="11"/>
  <c r="BX391" i="11"/>
  <c r="BX383" i="11"/>
  <c r="BX385" i="11"/>
  <c r="BX388" i="11"/>
  <c r="BX380" i="11"/>
  <c r="BX381" i="11"/>
  <c r="BX378" i="11"/>
  <c r="BX389" i="11"/>
  <c r="BX386" i="11"/>
  <c r="CF375" i="11"/>
  <c r="CF376" i="11"/>
  <c r="CF384" i="11"/>
  <c r="CF383" i="11"/>
  <c r="CF385" i="11"/>
  <c r="CF370" i="11"/>
  <c r="CF371" i="11"/>
  <c r="CF378" i="11"/>
  <c r="CF380" i="11"/>
  <c r="CF373" i="11"/>
  <c r="CF381" i="11"/>
  <c r="CF372" i="11"/>
  <c r="CF379" i="11"/>
  <c r="CF382" i="11"/>
  <c r="CF377" i="11"/>
  <c r="CF374" i="11"/>
  <c r="CB382" i="11"/>
  <c r="CB388" i="11"/>
  <c r="CB377" i="11"/>
  <c r="CB375" i="11"/>
  <c r="CB376" i="11"/>
  <c r="CB383" i="11"/>
  <c r="CB385" i="11"/>
  <c r="CB387" i="11"/>
  <c r="CB380" i="11"/>
  <c r="CB378" i="11"/>
  <c r="CB381" i="11"/>
  <c r="CB374" i="11"/>
  <c r="CB389" i="11"/>
  <c r="CB386" i="11"/>
  <c r="CB379" i="11"/>
  <c r="CB384" i="11"/>
  <c r="BH394" i="11"/>
  <c r="BH397" i="11"/>
  <c r="BH396" i="11"/>
  <c r="BH398" i="11"/>
  <c r="BH395" i="11"/>
  <c r="BT396" i="11"/>
  <c r="BT384" i="11"/>
  <c r="BT389" i="11"/>
  <c r="BT386" i="11"/>
  <c r="BT393" i="11"/>
  <c r="BT395" i="11"/>
  <c r="BT387" i="11"/>
  <c r="BT382" i="11"/>
  <c r="BT388" i="11"/>
  <c r="BT391" i="11"/>
  <c r="BT394" i="11"/>
  <c r="BT383" i="11"/>
  <c r="BT385" i="11"/>
  <c r="BT397" i="11"/>
  <c r="BT390" i="11"/>
  <c r="BT392" i="11"/>
  <c r="CO362" i="11"/>
  <c r="CO376" i="11"/>
  <c r="CO368" i="11"/>
  <c r="CO366" i="11"/>
  <c r="CO364" i="11"/>
  <c r="CO374" i="11"/>
  <c r="CO372" i="11"/>
  <c r="CO363" i="11"/>
  <c r="CO373" i="11"/>
  <c r="CO369" i="11"/>
  <c r="CO365" i="11"/>
  <c r="CO367" i="11"/>
  <c r="CO371" i="11"/>
  <c r="CO361" i="11"/>
  <c r="CO375" i="11"/>
  <c r="CO370" i="11"/>
  <c r="BM393" i="11"/>
  <c r="BM398" i="11"/>
  <c r="BM390" i="11"/>
  <c r="BM396" i="11"/>
  <c r="BM397" i="11"/>
  <c r="BM394" i="11"/>
  <c r="BM392" i="11"/>
  <c r="BM389" i="11"/>
  <c r="BM391" i="11"/>
  <c r="BM395" i="11"/>
  <c r="BL397" i="11"/>
  <c r="BL398" i="11"/>
  <c r="BL390" i="11"/>
  <c r="BL396" i="11"/>
  <c r="BL394" i="11"/>
  <c r="BL392" i="11"/>
  <c r="BL395" i="11"/>
  <c r="BL393" i="11"/>
  <c r="BL391" i="11"/>
  <c r="CL372" i="11"/>
  <c r="CL376" i="11"/>
  <c r="CL365" i="11"/>
  <c r="CL375" i="11"/>
  <c r="CL373" i="11"/>
  <c r="CL374" i="11"/>
  <c r="CL366" i="11"/>
  <c r="CL378" i="11"/>
  <c r="CL369" i="11"/>
  <c r="CL371" i="11"/>
  <c r="CL368" i="11"/>
  <c r="CL377" i="11"/>
  <c r="CL379" i="11"/>
  <c r="CL370" i="11"/>
  <c r="CL367" i="11"/>
  <c r="CL364" i="11"/>
  <c r="CV365" i="11"/>
  <c r="CV361" i="11"/>
  <c r="CV367" i="11"/>
  <c r="CV366" i="11"/>
  <c r="CV362" i="11"/>
  <c r="CV368" i="11"/>
  <c r="CV360" i="11"/>
  <c r="CV363" i="11"/>
  <c r="CV369" i="11"/>
  <c r="CV364" i="11"/>
  <c r="CV359" i="11"/>
  <c r="DB359" i="11"/>
  <c r="DB361" i="11"/>
  <c r="DB363" i="11"/>
  <c r="DB362" i="11"/>
  <c r="DB360" i="11"/>
  <c r="CH368" i="11"/>
  <c r="CH383" i="11"/>
  <c r="CH382" i="11"/>
  <c r="CH369" i="11"/>
  <c r="CH376" i="11"/>
  <c r="CH375" i="11"/>
  <c r="CH373" i="11"/>
  <c r="CH380" i="11"/>
  <c r="CH372" i="11"/>
  <c r="CH370" i="11"/>
  <c r="CH378" i="11"/>
  <c r="CH371" i="11"/>
  <c r="CH377" i="11"/>
  <c r="CH379" i="11"/>
  <c r="CH381" i="11"/>
  <c r="CH374" i="11"/>
  <c r="CR364" i="11"/>
  <c r="CR366" i="11"/>
  <c r="CR365" i="11"/>
  <c r="CR361" i="11"/>
  <c r="CR373" i="11"/>
  <c r="CR372" i="11"/>
  <c r="CR360" i="11"/>
  <c r="CR359" i="11"/>
  <c r="CR368" i="11"/>
  <c r="CR367" i="11"/>
  <c r="CR371" i="11"/>
  <c r="CR363" i="11"/>
  <c r="CR370" i="11"/>
  <c r="CR369" i="11"/>
  <c r="CR362" i="11"/>
  <c r="CJ374" i="11"/>
  <c r="CJ376" i="11"/>
  <c r="CJ369" i="11"/>
  <c r="CJ368" i="11"/>
  <c r="CJ378" i="11"/>
  <c r="CJ380" i="11"/>
  <c r="CJ372" i="11"/>
  <c r="CJ373" i="11"/>
  <c r="CJ381" i="11"/>
  <c r="CJ370" i="11"/>
  <c r="CJ379" i="11"/>
  <c r="CJ367" i="11"/>
  <c r="CJ377" i="11"/>
  <c r="CJ366" i="11"/>
  <c r="CJ375" i="11"/>
  <c r="CJ371" i="11"/>
  <c r="CT370" i="11"/>
  <c r="CT363" i="11"/>
  <c r="CT364" i="11"/>
  <c r="CT360" i="11"/>
  <c r="CT371" i="11"/>
  <c r="CT368" i="11"/>
  <c r="CT369" i="11"/>
  <c r="CT361" i="11"/>
  <c r="CT367" i="11"/>
  <c r="CT362" i="11"/>
  <c r="CT366" i="11"/>
  <c r="CT359" i="11"/>
  <c r="CT365" i="11"/>
  <c r="CA386" i="11"/>
  <c r="CA390" i="11"/>
  <c r="CA387" i="11"/>
  <c r="CA378" i="11"/>
  <c r="CA377" i="11"/>
  <c r="CA388" i="11"/>
  <c r="CA384" i="11"/>
  <c r="CA380" i="11"/>
  <c r="CA381" i="11"/>
  <c r="CA376" i="11"/>
  <c r="CA389" i="11"/>
  <c r="CA379" i="11"/>
  <c r="CA382" i="11"/>
  <c r="CA375" i="11"/>
  <c r="CA383" i="11"/>
  <c r="CA385" i="11"/>
  <c r="BF397" i="11"/>
  <c r="BF396" i="11"/>
  <c r="BF398" i="11"/>
  <c r="BP387" i="11"/>
  <c r="BP398" i="11"/>
  <c r="BP389" i="11"/>
  <c r="BP386" i="11"/>
  <c r="BP395" i="11"/>
  <c r="BP391" i="11"/>
  <c r="BP394" i="11"/>
  <c r="BP388" i="11"/>
  <c r="BP393" i="11"/>
  <c r="BP396" i="11"/>
  <c r="BP390" i="11"/>
  <c r="BP392" i="11"/>
  <c r="BP397" i="11"/>
  <c r="CC380" i="11"/>
  <c r="CC382" i="11"/>
  <c r="CC374" i="11"/>
  <c r="CC387" i="11"/>
  <c r="CC385" i="11"/>
  <c r="CC378" i="11"/>
  <c r="CC384" i="11"/>
  <c r="CC383" i="11"/>
  <c r="CC375" i="11"/>
  <c r="CC373" i="11"/>
  <c r="CC376" i="11"/>
  <c r="CC386" i="11"/>
  <c r="CC377" i="11"/>
  <c r="CC381" i="11"/>
  <c r="CC388" i="11"/>
  <c r="CC379" i="11"/>
  <c r="BV380" i="11"/>
  <c r="BV390" i="11"/>
  <c r="BV388" i="11"/>
  <c r="BV385" i="11"/>
  <c r="BV395" i="11"/>
  <c r="BV387" i="11"/>
  <c r="BV394" i="11"/>
  <c r="BV383" i="11"/>
  <c r="BV381" i="11"/>
  <c r="BV384" i="11"/>
  <c r="BV392" i="11"/>
  <c r="BV393" i="11"/>
  <c r="BV382" i="11"/>
  <c r="BV386" i="11"/>
  <c r="BV391" i="11"/>
  <c r="BV389" i="11"/>
  <c r="BJ394" i="11"/>
  <c r="BJ393" i="11"/>
  <c r="BJ395" i="11"/>
  <c r="BJ392" i="11"/>
  <c r="BJ396" i="11"/>
  <c r="BJ397" i="11"/>
  <c r="BJ398" i="11"/>
  <c r="BO398" i="11"/>
  <c r="BO397" i="11"/>
  <c r="BO389" i="11"/>
  <c r="BO391" i="11"/>
  <c r="BO395" i="11"/>
  <c r="BO390" i="11"/>
  <c r="BO388" i="11"/>
  <c r="BO393" i="11"/>
  <c r="BO394" i="11"/>
  <c r="BO387" i="11"/>
  <c r="BO392" i="11"/>
  <c r="BO396" i="11"/>
  <c r="BN391" i="11"/>
  <c r="BN398" i="11"/>
  <c r="BN394" i="11"/>
  <c r="BN393" i="11"/>
  <c r="BN388" i="11"/>
  <c r="BN395" i="11"/>
  <c r="BN389" i="11"/>
  <c r="BN390" i="11"/>
  <c r="BN396" i="11"/>
  <c r="BN397" i="11"/>
  <c r="BN392" i="11"/>
  <c r="CP374" i="11"/>
  <c r="CP368" i="11"/>
  <c r="CP365" i="11"/>
  <c r="CP375" i="11"/>
  <c r="CP369" i="11"/>
  <c r="CP373" i="11"/>
  <c r="CP360" i="11"/>
  <c r="CP362" i="11"/>
  <c r="CP366" i="11"/>
  <c r="CP372" i="11"/>
  <c r="CP371" i="11"/>
  <c r="CP367" i="11"/>
  <c r="CP361" i="11"/>
  <c r="CP363" i="11"/>
  <c r="CP364" i="11"/>
  <c r="CP370" i="11"/>
  <c r="CG383" i="11"/>
  <c r="CG375" i="11"/>
  <c r="CG372" i="11"/>
  <c r="CG374" i="11"/>
  <c r="CG376" i="11"/>
  <c r="CG371" i="11"/>
  <c r="CG378" i="11"/>
  <c r="CG384" i="11"/>
  <c r="CG379" i="11"/>
  <c r="CG381" i="11"/>
  <c r="CG380" i="11"/>
  <c r="CG370" i="11"/>
  <c r="CG369" i="11"/>
  <c r="CG377" i="11"/>
  <c r="CG382" i="11"/>
  <c r="CG373" i="11"/>
  <c r="CQ365" i="11"/>
  <c r="CQ362" i="11"/>
  <c r="CQ364" i="11"/>
  <c r="CQ359" i="11"/>
  <c r="CQ372" i="11"/>
  <c r="CQ371" i="11"/>
  <c r="CQ367" i="11"/>
  <c r="CQ360" i="11"/>
  <c r="CQ366" i="11"/>
  <c r="CQ369" i="11"/>
  <c r="CQ374" i="11"/>
  <c r="CQ368" i="11"/>
  <c r="CQ361" i="11"/>
  <c r="CQ370" i="11"/>
  <c r="CQ363" i="11"/>
  <c r="CQ373" i="11"/>
  <c r="BI398" i="11"/>
  <c r="BI395" i="11"/>
  <c r="BI393" i="11"/>
  <c r="BI397" i="11"/>
  <c r="BI394" i="11"/>
  <c r="BI396" i="11"/>
  <c r="CY363" i="11"/>
  <c r="CY359" i="11"/>
  <c r="CY365" i="11"/>
  <c r="CY360" i="11"/>
  <c r="CY366" i="11"/>
  <c r="CY361" i="11"/>
  <c r="CY362" i="11"/>
  <c r="CY364" i="11"/>
  <c r="CW367" i="11"/>
  <c r="CW359" i="11"/>
  <c r="CW366" i="11"/>
  <c r="CW365" i="11"/>
  <c r="CW362" i="11"/>
  <c r="CW361" i="11"/>
  <c r="CW364" i="11"/>
  <c r="CW360" i="11"/>
  <c r="CW368" i="11"/>
  <c r="CW363" i="11"/>
  <c r="CX360" i="11"/>
  <c r="CX363" i="11"/>
  <c r="CX364" i="11"/>
  <c r="CX362" i="11"/>
  <c r="CX367" i="11"/>
  <c r="CX361" i="11"/>
  <c r="CX366" i="11"/>
  <c r="CX365" i="11"/>
  <c r="CX359" i="11"/>
  <c r="DF354" i="11"/>
  <c r="DF357" i="11"/>
  <c r="DF345" i="11"/>
  <c r="DF339" i="11"/>
  <c r="DF343" i="11"/>
  <c r="DF348" i="11"/>
  <c r="DF356" i="11"/>
  <c r="DF333" i="11"/>
  <c r="DF337" i="11"/>
  <c r="DF332" i="11"/>
  <c r="DF336" i="11"/>
  <c r="DF340" i="11"/>
  <c r="DF338" i="11"/>
  <c r="DF344" i="11"/>
  <c r="DF353" i="11"/>
  <c r="DF347" i="11"/>
  <c r="DF346" i="11"/>
  <c r="DF350" i="11"/>
  <c r="DF352" i="11"/>
  <c r="DF355" i="11"/>
  <c r="DF349" i="11"/>
  <c r="DF351" i="11"/>
  <c r="DF341" i="11"/>
  <c r="DF335" i="11"/>
  <c r="DF334" i="11"/>
  <c r="BD158" i="1"/>
  <c r="CP359" i="11"/>
  <c r="DF342" i="11"/>
  <c r="BB157" i="1"/>
  <c r="AM157" i="1"/>
  <c r="BC114" i="1"/>
  <c r="BB118" i="1"/>
  <c r="BG393" i="11"/>
  <c r="BG394" i="11"/>
  <c r="BG386" i="11"/>
  <c r="BG384" i="11"/>
  <c r="BG390" i="11"/>
  <c r="BG387" i="11"/>
  <c r="BG388" i="11"/>
  <c r="BG385" i="11"/>
  <c r="BG391" i="11"/>
  <c r="BG383" i="11"/>
  <c r="BG389" i="11"/>
  <c r="BG392" i="11"/>
  <c r="BX372" i="11"/>
  <c r="BX374" i="11"/>
  <c r="BX375" i="11"/>
  <c r="BX367" i="11"/>
  <c r="BX368" i="11"/>
  <c r="BX377" i="11"/>
  <c r="BX369" i="11"/>
  <c r="BX370" i="11"/>
  <c r="BX366" i="11"/>
  <c r="BX376" i="11"/>
  <c r="BX371" i="11"/>
  <c r="BX373" i="11"/>
  <c r="CE364" i="11"/>
  <c r="CE369" i="11"/>
  <c r="CE366" i="11"/>
  <c r="CE361" i="11"/>
  <c r="CE359" i="11"/>
  <c r="CE367" i="11"/>
  <c r="CE362" i="11"/>
  <c r="CE363" i="11"/>
  <c r="CE360" i="11"/>
  <c r="CE368" i="11"/>
  <c r="CE370" i="11"/>
  <c r="CE365" i="11"/>
  <c r="CF364" i="11"/>
  <c r="CF359" i="11"/>
  <c r="CF363" i="11"/>
  <c r="CF369" i="11"/>
  <c r="CF360" i="11"/>
  <c r="CF367" i="11"/>
  <c r="CF365" i="11"/>
  <c r="CF362" i="11"/>
  <c r="CF368" i="11"/>
  <c r="CF366" i="11"/>
  <c r="CF361" i="11"/>
  <c r="BH393" i="11"/>
  <c r="BH391" i="11"/>
  <c r="BH392" i="11"/>
  <c r="BH382" i="11"/>
  <c r="BH388" i="11"/>
  <c r="BH385" i="11"/>
  <c r="BH389" i="11"/>
  <c r="BH386" i="11"/>
  <c r="BH384" i="11"/>
  <c r="BH383" i="11"/>
  <c r="BH387" i="11"/>
  <c r="BH390" i="11"/>
  <c r="CJ359" i="11"/>
  <c r="CJ362" i="11"/>
  <c r="CJ364" i="11"/>
  <c r="CJ363" i="11"/>
  <c r="CJ360" i="11"/>
  <c r="CJ365" i="11"/>
  <c r="CJ361" i="11"/>
  <c r="BL380" i="11"/>
  <c r="BL382" i="11"/>
  <c r="BL385" i="11"/>
  <c r="BL389" i="11"/>
  <c r="BL386" i="11"/>
  <c r="BL383" i="11"/>
  <c r="BL384" i="11"/>
  <c r="BL378" i="11"/>
  <c r="BL388" i="11"/>
  <c r="BL379" i="11"/>
  <c r="BL387" i="11"/>
  <c r="BL381" i="11"/>
  <c r="CL361" i="11"/>
  <c r="CL359" i="11"/>
  <c r="CL360" i="11"/>
  <c r="CL363" i="11"/>
  <c r="CL362" i="11"/>
  <c r="BT380" i="11"/>
  <c r="BT374" i="11"/>
  <c r="BT371" i="11"/>
  <c r="BT372" i="11"/>
  <c r="BT376" i="11"/>
  <c r="BT375" i="11"/>
  <c r="BT381" i="11"/>
  <c r="BT377" i="11"/>
  <c r="BT379" i="11"/>
  <c r="BT370" i="11"/>
  <c r="BT378" i="11"/>
  <c r="BT373" i="11"/>
  <c r="AY392" i="11"/>
  <c r="AY398" i="11"/>
  <c r="AY391" i="11"/>
  <c r="AY395" i="11"/>
  <c r="AY397" i="11"/>
  <c r="AY396" i="11"/>
  <c r="AY393" i="11"/>
  <c r="AY394" i="11"/>
  <c r="BB394" i="11"/>
  <c r="BB389" i="11"/>
  <c r="BB398" i="11"/>
  <c r="BB396" i="11"/>
  <c r="BB388" i="11"/>
  <c r="BB395" i="11"/>
  <c r="BB397" i="11"/>
  <c r="BB393" i="11"/>
  <c r="BB392" i="11"/>
  <c r="BB390" i="11"/>
  <c r="BB391" i="11"/>
  <c r="AZ396" i="11"/>
  <c r="AZ390" i="11"/>
  <c r="AZ393" i="11"/>
  <c r="AZ391" i="11"/>
  <c r="AZ395" i="11"/>
  <c r="AZ398" i="11"/>
  <c r="AZ394" i="11"/>
  <c r="AZ397" i="11"/>
  <c r="AZ392" i="11"/>
  <c r="CA371" i="11"/>
  <c r="CA374" i="11"/>
  <c r="CA373" i="11"/>
  <c r="CA363" i="11"/>
  <c r="CA369" i="11"/>
  <c r="CA372" i="11"/>
  <c r="CA364" i="11"/>
  <c r="CA366" i="11"/>
  <c r="CA365" i="11"/>
  <c r="CA370" i="11"/>
  <c r="CA368" i="11"/>
  <c r="CA367" i="11"/>
  <c r="AV396" i="11"/>
  <c r="AV398" i="11"/>
  <c r="AV395" i="11"/>
  <c r="AV394" i="11"/>
  <c r="AV397" i="11"/>
  <c r="BF394" i="11"/>
  <c r="BF385" i="11"/>
  <c r="BF386" i="11"/>
  <c r="BF391" i="11"/>
  <c r="BF388" i="11"/>
  <c r="BF387" i="11"/>
  <c r="BF395" i="11"/>
  <c r="BF389" i="11"/>
  <c r="BF392" i="11"/>
  <c r="BF390" i="11"/>
  <c r="BF384" i="11"/>
  <c r="BF393" i="11"/>
  <c r="BP380" i="11"/>
  <c r="BP376" i="11"/>
  <c r="BP385" i="11"/>
  <c r="BP383" i="11"/>
  <c r="BP375" i="11"/>
  <c r="BP377" i="11"/>
  <c r="BP379" i="11"/>
  <c r="BP378" i="11"/>
  <c r="BP384" i="11"/>
  <c r="BP381" i="11"/>
  <c r="BP374" i="11"/>
  <c r="BP382" i="11"/>
  <c r="BD388" i="11"/>
  <c r="BD394" i="11"/>
  <c r="BD392" i="11"/>
  <c r="BD395" i="11"/>
  <c r="BD397" i="11"/>
  <c r="BD389" i="11"/>
  <c r="BD386" i="11"/>
  <c r="BD391" i="11"/>
  <c r="BD387" i="11"/>
  <c r="BD393" i="11"/>
  <c r="BD396" i="11"/>
  <c r="BD390" i="11"/>
  <c r="CH364" i="11"/>
  <c r="CH366" i="11"/>
  <c r="CH359" i="11"/>
  <c r="CH365" i="11"/>
  <c r="CH360" i="11"/>
  <c r="CH363" i="11"/>
  <c r="CH362" i="11"/>
  <c r="CH367" i="11"/>
  <c r="CH361" i="11"/>
  <c r="BY368" i="11"/>
  <c r="BY369" i="11"/>
  <c r="BY372" i="11"/>
  <c r="BY370" i="11"/>
  <c r="BY365" i="11"/>
  <c r="BY371" i="11"/>
  <c r="BY376" i="11"/>
  <c r="BY367" i="11"/>
  <c r="BY373" i="11"/>
  <c r="BY374" i="11"/>
  <c r="BY366" i="11"/>
  <c r="BY375" i="11"/>
  <c r="BV373" i="11"/>
  <c r="BV378" i="11"/>
  <c r="BV370" i="11"/>
  <c r="BV379" i="11"/>
  <c r="BV376" i="11"/>
  <c r="BV371" i="11"/>
  <c r="BV374" i="11"/>
  <c r="BV372" i="11"/>
  <c r="BV369" i="11"/>
  <c r="BV375" i="11"/>
  <c r="BV377" i="11"/>
  <c r="BV368" i="11"/>
  <c r="CG360" i="11"/>
  <c r="CG366" i="11"/>
  <c r="CG365" i="11"/>
  <c r="CG364" i="11"/>
  <c r="CG363" i="11"/>
  <c r="CG361" i="11"/>
  <c r="CG362" i="11"/>
  <c r="CG359" i="11"/>
  <c r="CG368" i="11"/>
  <c r="CG367" i="11"/>
  <c r="BA391" i="11"/>
  <c r="BA395" i="11"/>
  <c r="BA392" i="11"/>
  <c r="BA393" i="11"/>
  <c r="BA397" i="11"/>
  <c r="BA390" i="11"/>
  <c r="BA394" i="11"/>
  <c r="BA398" i="11"/>
  <c r="BA389" i="11"/>
  <c r="BA396" i="11"/>
  <c r="AS398" i="11"/>
  <c r="AS397" i="11"/>
  <c r="BN380" i="11"/>
  <c r="BN377" i="11"/>
  <c r="BN387" i="11"/>
  <c r="BN382" i="11"/>
  <c r="BN383" i="11"/>
  <c r="BN379" i="11"/>
  <c r="BN386" i="11"/>
  <c r="BN378" i="11"/>
  <c r="BN376" i="11"/>
  <c r="BN381" i="11"/>
  <c r="BN385" i="11"/>
  <c r="BN384" i="11"/>
  <c r="CC365" i="11"/>
  <c r="CC367" i="11"/>
  <c r="CC364" i="11"/>
  <c r="CC372" i="11"/>
  <c r="CC362" i="11"/>
  <c r="CC370" i="11"/>
  <c r="CC363" i="11"/>
  <c r="CC369" i="11"/>
  <c r="CC371" i="11"/>
  <c r="CC368" i="11"/>
  <c r="CC366" i="11"/>
  <c r="CC361" i="11"/>
  <c r="BI383" i="11"/>
  <c r="BI387" i="11"/>
  <c r="BI390" i="11"/>
  <c r="BI391" i="11"/>
  <c r="BI381" i="11"/>
  <c r="BI385" i="11"/>
  <c r="BI386" i="11"/>
  <c r="BI389" i="11"/>
  <c r="BI392" i="11"/>
  <c r="BI382" i="11"/>
  <c r="BI384" i="11"/>
  <c r="BI388" i="11"/>
  <c r="BK380" i="11"/>
  <c r="BK387" i="11"/>
  <c r="BK381" i="11"/>
  <c r="BK383" i="11"/>
  <c r="BK389" i="11"/>
  <c r="BK379" i="11"/>
  <c r="BK384" i="11"/>
  <c r="BK386" i="11"/>
  <c r="BK388" i="11"/>
  <c r="BK385" i="11"/>
  <c r="BK390" i="11"/>
  <c r="BK382" i="11"/>
  <c r="CO359" i="11"/>
  <c r="CO360" i="11"/>
  <c r="CK363" i="11"/>
  <c r="CK361" i="11"/>
  <c r="CK362" i="11"/>
  <c r="CK364" i="11"/>
  <c r="CK360" i="11"/>
  <c r="CK359" i="11"/>
  <c r="CI364" i="11"/>
  <c r="CI359" i="11"/>
  <c r="CI361" i="11"/>
  <c r="CI363" i="11"/>
  <c r="CI366" i="11"/>
  <c r="CI362" i="11"/>
  <c r="CI360" i="11"/>
  <c r="CI365" i="11"/>
  <c r="AU398" i="11"/>
  <c r="AU396" i="11"/>
  <c r="AU397" i="11"/>
  <c r="AU395" i="11"/>
  <c r="AT396" i="11"/>
  <c r="AT398" i="11"/>
  <c r="AT397" i="11"/>
  <c r="AW396" i="11"/>
  <c r="AW395" i="11"/>
  <c r="AW398" i="11"/>
  <c r="AW393" i="11"/>
  <c r="AW397" i="11"/>
  <c r="AW394" i="11"/>
  <c r="BR380" i="11"/>
  <c r="BR374" i="11"/>
  <c r="BR373" i="11"/>
  <c r="BR383" i="11"/>
  <c r="BR379" i="11"/>
  <c r="BR381" i="11"/>
  <c r="BR382" i="11"/>
  <c r="BR376" i="11"/>
  <c r="BR375" i="11"/>
  <c r="BR372" i="11"/>
  <c r="BR378" i="11"/>
  <c r="BR377" i="11"/>
  <c r="CM361" i="11"/>
  <c r="CM359" i="11"/>
  <c r="CM360" i="11"/>
  <c r="CM362" i="11"/>
  <c r="BM380" i="11"/>
  <c r="BM387" i="11"/>
  <c r="BM377" i="11"/>
  <c r="BM381" i="11"/>
  <c r="BM383" i="11"/>
  <c r="BM385" i="11"/>
  <c r="BM378" i="11"/>
  <c r="BM382" i="11"/>
  <c r="BM388" i="11"/>
  <c r="BM386" i="11"/>
  <c r="BM384" i="11"/>
  <c r="BM379" i="11"/>
  <c r="BW377" i="11"/>
  <c r="BW374" i="11"/>
  <c r="BW367" i="11"/>
  <c r="BW373" i="11"/>
  <c r="BW372" i="11"/>
  <c r="BW369" i="11"/>
  <c r="BW368" i="11"/>
  <c r="BW371" i="11"/>
  <c r="BW376" i="11"/>
  <c r="BW378" i="11"/>
  <c r="BW375" i="11"/>
  <c r="BW370" i="11"/>
  <c r="BE392" i="11"/>
  <c r="BE387" i="11"/>
  <c r="BE396" i="11"/>
  <c r="BE386" i="11"/>
  <c r="BE391" i="11"/>
  <c r="BE395" i="11"/>
  <c r="BE394" i="11"/>
  <c r="BE388" i="11"/>
  <c r="BE389" i="11"/>
  <c r="BE390" i="11"/>
  <c r="BE393" i="11"/>
  <c r="BE385" i="11"/>
  <c r="CN361" i="11"/>
  <c r="CN360" i="11"/>
  <c r="CN359" i="11"/>
  <c r="BS372" i="11"/>
  <c r="BS381" i="11"/>
  <c r="BS378" i="11"/>
  <c r="BS382" i="11"/>
  <c r="BS373" i="11"/>
  <c r="BS379" i="11"/>
  <c r="BS377" i="11"/>
  <c r="BS371" i="11"/>
  <c r="BS376" i="11"/>
  <c r="BS380" i="11"/>
  <c r="BS375" i="11"/>
  <c r="BS374" i="11"/>
  <c r="BZ367" i="11"/>
  <c r="BZ374" i="11"/>
  <c r="BZ371" i="11"/>
  <c r="BZ365" i="11"/>
  <c r="BZ369" i="11"/>
  <c r="BZ370" i="11"/>
  <c r="BZ372" i="11"/>
  <c r="BZ368" i="11"/>
  <c r="BZ366" i="11"/>
  <c r="BZ375" i="11"/>
  <c r="BZ364" i="11"/>
  <c r="BZ373" i="11"/>
  <c r="BQ380" i="11"/>
  <c r="BQ373" i="11"/>
  <c r="BQ384" i="11"/>
  <c r="BQ375" i="11"/>
  <c r="BQ381" i="11"/>
  <c r="BQ379" i="11"/>
  <c r="BQ378" i="11"/>
  <c r="BQ382" i="11"/>
  <c r="BQ374" i="11"/>
  <c r="BQ376" i="11"/>
  <c r="BQ383" i="11"/>
  <c r="BQ377" i="11"/>
  <c r="BJ380" i="11"/>
  <c r="BJ385" i="11"/>
  <c r="BJ389" i="11"/>
  <c r="BJ388" i="11"/>
  <c r="BJ386" i="11"/>
  <c r="BJ391" i="11"/>
  <c r="BJ381" i="11"/>
  <c r="BJ387" i="11"/>
  <c r="BJ383" i="11"/>
  <c r="BJ382" i="11"/>
  <c r="BJ390" i="11"/>
  <c r="BJ384" i="11"/>
  <c r="BC397" i="11"/>
  <c r="BC390" i="11"/>
  <c r="BC394" i="11"/>
  <c r="BC389" i="11"/>
  <c r="BC396" i="11"/>
  <c r="BC398" i="11"/>
  <c r="BC391" i="11"/>
  <c r="BC388" i="11"/>
  <c r="BC392" i="11"/>
  <c r="BC387" i="11"/>
  <c r="BC393" i="11"/>
  <c r="BC395" i="11"/>
  <c r="BU380" i="11"/>
  <c r="BU370" i="11"/>
  <c r="BU375" i="11"/>
  <c r="BU379" i="11"/>
  <c r="BU371" i="11"/>
  <c r="BU369" i="11"/>
  <c r="BU377" i="11"/>
  <c r="BU373" i="11"/>
  <c r="BU376" i="11"/>
  <c r="BU374" i="11"/>
  <c r="BU378" i="11"/>
  <c r="BU372" i="11"/>
  <c r="CD366" i="11"/>
  <c r="CD371" i="11"/>
  <c r="CD365" i="11"/>
  <c r="CD361" i="11"/>
  <c r="CD368" i="11"/>
  <c r="CD370" i="11"/>
  <c r="CD363" i="11"/>
  <c r="CD360" i="11"/>
  <c r="CD362" i="11"/>
  <c r="CD369" i="11"/>
  <c r="CD364" i="11"/>
  <c r="CD367" i="11"/>
  <c r="CB365" i="11"/>
  <c r="CB364" i="11"/>
  <c r="CB367" i="11"/>
  <c r="CB371" i="11"/>
  <c r="CB362" i="11"/>
  <c r="CB368" i="11"/>
  <c r="CB369" i="11"/>
  <c r="CB373" i="11"/>
  <c r="CB372" i="11"/>
  <c r="CB363" i="11"/>
  <c r="CB370" i="11"/>
  <c r="CB366" i="11"/>
  <c r="AX395" i="11"/>
  <c r="AX396" i="11"/>
  <c r="AX392" i="11"/>
  <c r="AX393" i="11"/>
  <c r="AX397" i="11"/>
  <c r="AX398" i="11"/>
  <c r="AX394" i="11"/>
  <c r="BO380" i="11"/>
  <c r="BO375" i="11"/>
  <c r="BO383" i="11"/>
  <c r="BO382" i="11"/>
  <c r="BO385" i="11"/>
  <c r="BO386" i="11"/>
  <c r="BO376" i="11"/>
  <c r="BO378" i="11"/>
  <c r="BO379" i="11"/>
  <c r="BO377" i="11"/>
  <c r="BO384" i="11"/>
  <c r="BO381" i="11"/>
  <c r="F93" i="1"/>
  <c r="CQ25" i="1"/>
  <c r="CR25" i="1" s="1"/>
  <c r="F51" i="1"/>
  <c r="M5" i="8"/>
  <c r="F116" i="1"/>
  <c r="F26" i="1"/>
  <c r="F70" i="1" s="1"/>
  <c r="DF359" i="11"/>
  <c r="CR18" i="1"/>
  <c r="K21" i="8"/>
  <c r="K33" i="8" s="1"/>
  <c r="K45" i="8" s="1"/>
  <c r="K57" i="8" s="1"/>
  <c r="K69" i="8" s="1"/>
  <c r="K22" i="8"/>
  <c r="K34" i="8" s="1"/>
  <c r="K46" i="8" s="1"/>
  <c r="K58" i="8" s="1"/>
  <c r="K70" i="8" s="1"/>
  <c r="K26" i="8"/>
  <c r="K38" i="8" s="1"/>
  <c r="K50" i="8" s="1"/>
  <c r="K62" i="8" s="1"/>
  <c r="K74" i="8" s="1"/>
  <c r="K25" i="8"/>
  <c r="K37" i="8" s="1"/>
  <c r="K49" i="8" s="1"/>
  <c r="K61" i="8" s="1"/>
  <c r="K73" i="8" s="1"/>
  <c r="K28" i="8"/>
  <c r="K40" i="8" s="1"/>
  <c r="K52" i="8" s="1"/>
  <c r="K64" i="8" s="1"/>
  <c r="K76" i="8" s="1"/>
  <c r="K88" i="8" s="1"/>
  <c r="K24" i="8"/>
  <c r="K36" i="8" s="1"/>
  <c r="K48" i="8" s="1"/>
  <c r="K60" i="8" s="1"/>
  <c r="K72" i="8" s="1"/>
  <c r="K20" i="8"/>
  <c r="K32" i="8" s="1"/>
  <c r="K44" i="8" s="1"/>
  <c r="K56" i="8" s="1"/>
  <c r="K68" i="8" s="1"/>
  <c r="K23" i="8"/>
  <c r="K35" i="8" s="1"/>
  <c r="K47" i="8" s="1"/>
  <c r="K59" i="8" s="1"/>
  <c r="K71" i="8" s="1"/>
  <c r="K19" i="8"/>
  <c r="K31" i="8" s="1"/>
  <c r="K43" i="8" s="1"/>
  <c r="K55" i="8" s="1"/>
  <c r="K67" i="8" s="1"/>
  <c r="K18" i="8"/>
  <c r="K30" i="8" s="1"/>
  <c r="K42" i="8" s="1"/>
  <c r="K54" i="8" s="1"/>
  <c r="K66" i="8" s="1"/>
  <c r="K27" i="8"/>
  <c r="K39" i="8" s="1"/>
  <c r="K51" i="8" s="1"/>
  <c r="K63" i="8" s="1"/>
  <c r="K75" i="8" s="1"/>
  <c r="M8" i="8"/>
  <c r="O8" i="8" s="1"/>
  <c r="S8" i="8" s="1"/>
  <c r="N8" i="8"/>
  <c r="N5" i="8"/>
  <c r="N10" i="8"/>
  <c r="N11" i="8"/>
  <c r="N6" i="8"/>
  <c r="N13" i="8"/>
  <c r="M13" i="8"/>
  <c r="N14" i="8"/>
  <c r="M14" i="8"/>
  <c r="N7" i="8"/>
  <c r="M7" i="8"/>
  <c r="O7" i="8" s="1"/>
  <c r="S7" i="8" s="1"/>
  <c r="M15" i="8"/>
  <c r="O15" i="8" s="1"/>
  <c r="S15" i="8" s="1"/>
  <c r="N15" i="8"/>
  <c r="N12" i="8"/>
  <c r="M12" i="8"/>
  <c r="M6" i="8"/>
  <c r="O6" i="8" s="1"/>
  <c r="S6" i="8" s="1"/>
  <c r="N9" i="8"/>
  <c r="M9" i="8"/>
  <c r="M11" i="8"/>
  <c r="M10" i="8"/>
  <c r="M16" i="8"/>
  <c r="O16" i="8" s="1"/>
  <c r="S16" i="8" s="1"/>
  <c r="N16" i="8"/>
  <c r="AC376" i="11"/>
  <c r="AC360" i="11"/>
  <c r="AC372" i="11"/>
  <c r="AC398" i="11"/>
  <c r="AC362" i="11"/>
  <c r="AC387" i="11"/>
  <c r="AC397" i="11"/>
  <c r="AC361" i="11"/>
  <c r="AC393" i="11"/>
  <c r="AC367" i="11"/>
  <c r="AC379" i="11"/>
  <c r="AC384" i="11"/>
  <c r="AC370" i="11"/>
  <c r="AC386" i="11"/>
  <c r="AC368" i="11"/>
  <c r="AC383" i="11"/>
  <c r="AC380" i="11"/>
  <c r="AC371" i="11"/>
  <c r="AC381" i="11"/>
  <c r="AC385" i="11"/>
  <c r="AC359" i="11"/>
  <c r="AC396" i="11"/>
  <c r="AC389" i="11"/>
  <c r="AC377" i="11"/>
  <c r="AC392" i="11"/>
  <c r="AC394" i="11"/>
  <c r="AC374" i="11"/>
  <c r="AC366" i="11"/>
  <c r="AC390" i="11"/>
  <c r="AC382" i="11"/>
  <c r="AC369" i="11"/>
  <c r="AC391" i="11"/>
  <c r="AC378" i="11"/>
  <c r="AC375" i="11"/>
  <c r="AC395" i="11"/>
  <c r="AC364" i="11"/>
  <c r="AC365" i="11"/>
  <c r="AC363" i="11"/>
  <c r="AC373" i="11"/>
  <c r="AC388" i="11"/>
  <c r="AG397" i="11"/>
  <c r="AG367" i="11"/>
  <c r="AG386" i="11"/>
  <c r="AG387" i="11"/>
  <c r="AG379" i="11"/>
  <c r="AG391" i="11"/>
  <c r="AG385" i="11"/>
  <c r="AG394" i="11"/>
  <c r="AG359" i="11"/>
  <c r="AG364" i="11"/>
  <c r="AG368" i="11"/>
  <c r="AG366" i="11"/>
  <c r="AG370" i="11"/>
  <c r="AG396" i="11"/>
  <c r="AG363" i="11"/>
  <c r="AG384" i="11"/>
  <c r="AG376" i="11"/>
  <c r="AG389" i="11"/>
  <c r="AG380" i="11"/>
  <c r="AG375" i="11"/>
  <c r="AG395" i="11"/>
  <c r="AG382" i="11"/>
  <c r="AG378" i="11"/>
  <c r="AG393" i="11"/>
  <c r="AG398" i="11"/>
  <c r="AG381" i="11"/>
  <c r="AG362" i="11"/>
  <c r="AG361" i="11"/>
  <c r="AG369" i="11"/>
  <c r="AG374" i="11"/>
  <c r="AG392" i="11"/>
  <c r="AG360" i="11"/>
  <c r="AG373" i="11"/>
  <c r="AG383" i="11"/>
  <c r="AG390" i="11"/>
  <c r="AG372" i="11"/>
  <c r="AG365" i="11"/>
  <c r="AG388" i="11"/>
  <c r="AG377" i="11"/>
  <c r="AG371" i="11"/>
  <c r="O397" i="11"/>
  <c r="O387" i="11"/>
  <c r="O384" i="11"/>
  <c r="O380" i="11"/>
  <c r="O376" i="11"/>
  <c r="O381" i="11"/>
  <c r="O362" i="11"/>
  <c r="O396" i="11"/>
  <c r="O394" i="11"/>
  <c r="O383" i="11"/>
  <c r="O386" i="11"/>
  <c r="O377" i="11"/>
  <c r="O379" i="11"/>
  <c r="O365" i="11"/>
  <c r="O368" i="11"/>
  <c r="O391" i="11"/>
  <c r="O393" i="11"/>
  <c r="O390" i="11"/>
  <c r="O382" i="11"/>
  <c r="O374" i="11"/>
  <c r="O372" i="11"/>
  <c r="O363" i="11"/>
  <c r="O359" i="11"/>
  <c r="O398" i="11"/>
  <c r="O392" i="11"/>
  <c r="O388" i="11"/>
  <c r="O378" i="11"/>
  <c r="O370" i="11"/>
  <c r="O364" i="11"/>
  <c r="O366" i="11"/>
  <c r="O369" i="11"/>
  <c r="O367" i="11"/>
  <c r="O395" i="11"/>
  <c r="O385" i="11"/>
  <c r="O373" i="11"/>
  <c r="O360" i="11"/>
  <c r="O361" i="11"/>
  <c r="O375" i="11"/>
  <c r="O371" i="11"/>
  <c r="O389" i="11"/>
  <c r="AF386" i="11"/>
  <c r="AF394" i="11"/>
  <c r="AF387" i="11"/>
  <c r="AF380" i="11"/>
  <c r="AF363" i="11"/>
  <c r="AF360" i="11"/>
  <c r="AF372" i="11"/>
  <c r="AF397" i="11"/>
  <c r="AF393" i="11"/>
  <c r="AF382" i="11"/>
  <c r="AF378" i="11"/>
  <c r="AF366" i="11"/>
  <c r="AF374" i="11"/>
  <c r="AF369" i="11"/>
  <c r="AF396" i="11"/>
  <c r="AF391" i="11"/>
  <c r="AF383" i="11"/>
  <c r="AF376" i="11"/>
  <c r="AF362" i="11"/>
  <c r="AF364" i="11"/>
  <c r="AF398" i="11"/>
  <c r="AF388" i="11"/>
  <c r="AF384" i="11"/>
  <c r="AF370" i="11"/>
  <c r="AF361" i="11"/>
  <c r="AF367" i="11"/>
  <c r="AF381" i="11"/>
  <c r="AF395" i="11"/>
  <c r="AF389" i="11"/>
  <c r="AF375" i="11"/>
  <c r="AF385" i="11"/>
  <c r="AF392" i="11"/>
  <c r="AF390" i="11"/>
  <c r="AF377" i="11"/>
  <c r="AF373" i="11"/>
  <c r="AF368" i="11"/>
  <c r="AF371" i="11"/>
  <c r="AF359" i="11"/>
  <c r="AF365" i="11"/>
  <c r="AF379" i="11"/>
  <c r="K385" i="11"/>
  <c r="K368" i="11"/>
  <c r="K391" i="11"/>
  <c r="K386" i="11"/>
  <c r="K389" i="11"/>
  <c r="K371" i="11"/>
  <c r="K393" i="11"/>
  <c r="K392" i="11"/>
  <c r="K383" i="11"/>
  <c r="K374" i="11"/>
  <c r="K377" i="11"/>
  <c r="K363" i="11"/>
  <c r="K360" i="11"/>
  <c r="K359" i="11"/>
  <c r="K397" i="11"/>
  <c r="K390" i="11"/>
  <c r="K384" i="11"/>
  <c r="K378" i="11"/>
  <c r="K381" i="11"/>
  <c r="K373" i="11"/>
  <c r="K362" i="11"/>
  <c r="K369" i="11"/>
  <c r="K372" i="11"/>
  <c r="K387" i="11"/>
  <c r="K382" i="11"/>
  <c r="K376" i="11"/>
  <c r="K365" i="11"/>
  <c r="K394" i="11"/>
  <c r="K380" i="11"/>
  <c r="K364" i="11"/>
  <c r="K367" i="11"/>
  <c r="K398" i="11"/>
  <c r="K388" i="11"/>
  <c r="K370" i="11"/>
  <c r="K366" i="11"/>
  <c r="K375" i="11"/>
  <c r="K396" i="11"/>
  <c r="K395" i="11"/>
  <c r="K379" i="11"/>
  <c r="K361" i="11"/>
  <c r="Y391" i="11"/>
  <c r="Y394" i="11"/>
  <c r="Y370" i="11"/>
  <c r="Y367" i="11"/>
  <c r="Y382" i="11"/>
  <c r="Y363" i="11"/>
  <c r="Y386" i="11"/>
  <c r="Y396" i="11"/>
  <c r="Y389" i="11"/>
  <c r="Y388" i="11"/>
  <c r="Y392" i="11"/>
  <c r="Y368" i="11"/>
  <c r="Y369" i="11"/>
  <c r="Y381" i="11"/>
  <c r="Y387" i="11"/>
  <c r="Y378" i="11"/>
  <c r="Y374" i="11"/>
  <c r="Y385" i="11"/>
  <c r="Y397" i="11"/>
  <c r="Y376" i="11"/>
  <c r="Y380" i="11"/>
  <c r="Y360" i="11"/>
  <c r="Y393" i="11"/>
  <c r="Y362" i="11"/>
  <c r="Y364" i="11"/>
  <c r="Y371" i="11"/>
  <c r="Y375" i="11"/>
  <c r="Y398" i="11"/>
  <c r="Y366" i="11"/>
  <c r="Y383" i="11"/>
  <c r="Y361" i="11"/>
  <c r="Y390" i="11"/>
  <c r="Y365" i="11"/>
  <c r="Y384" i="11"/>
  <c r="Y379" i="11"/>
  <c r="Y373" i="11"/>
  <c r="Y359" i="11"/>
  <c r="Y372" i="11"/>
  <c r="Y395" i="11"/>
  <c r="Y377" i="11"/>
  <c r="AS392" i="11"/>
  <c r="AS370" i="11"/>
  <c r="AS396" i="11"/>
  <c r="AS360" i="11"/>
  <c r="AS391" i="11"/>
  <c r="AS375" i="11"/>
  <c r="AS378" i="11"/>
  <c r="AS368" i="11"/>
  <c r="AS377" i="11"/>
  <c r="AS382" i="11"/>
  <c r="AS373" i="11"/>
  <c r="AS366" i="11"/>
  <c r="AS390" i="11"/>
  <c r="AS393" i="11"/>
  <c r="AS367" i="11"/>
  <c r="AS395" i="11"/>
  <c r="AS389" i="11"/>
  <c r="AS374" i="11"/>
  <c r="AS371" i="11"/>
  <c r="AS383" i="11"/>
  <c r="AS369" i="11"/>
  <c r="AS365" i="11"/>
  <c r="DF397" i="11"/>
  <c r="AS359" i="11"/>
  <c r="AS376" i="11"/>
  <c r="AS381" i="11"/>
  <c r="AS388" i="11"/>
  <c r="AS394" i="11"/>
  <c r="AS362" i="11"/>
  <c r="AS385" i="11"/>
  <c r="AS387" i="11"/>
  <c r="AS380" i="11"/>
  <c r="AS386" i="11"/>
  <c r="AS384" i="11"/>
  <c r="AS364" i="11"/>
  <c r="AS372" i="11"/>
  <c r="AS361" i="11"/>
  <c r="AS379" i="11"/>
  <c r="AS363" i="11"/>
  <c r="AH382" i="11"/>
  <c r="AH384" i="11"/>
  <c r="AH371" i="11"/>
  <c r="AH395" i="11"/>
  <c r="AH393" i="11"/>
  <c r="AH366" i="11"/>
  <c r="AH386" i="11"/>
  <c r="AH387" i="11"/>
  <c r="AH369" i="11"/>
  <c r="AH397" i="11"/>
  <c r="AH363" i="11"/>
  <c r="AH375" i="11"/>
  <c r="AH373" i="11"/>
  <c r="AH376" i="11"/>
  <c r="AH379" i="11"/>
  <c r="AH398" i="11"/>
  <c r="AH370" i="11"/>
  <c r="AH389" i="11"/>
  <c r="AH383" i="11"/>
  <c r="AH367" i="11"/>
  <c r="AH359" i="11"/>
  <c r="AH390" i="11"/>
  <c r="AH388" i="11"/>
  <c r="AH372" i="11"/>
  <c r="AH394" i="11"/>
  <c r="AH377" i="11"/>
  <c r="AH364" i="11"/>
  <c r="AH374" i="11"/>
  <c r="AH368" i="11"/>
  <c r="AH378" i="11"/>
  <c r="AH381" i="11"/>
  <c r="AH365" i="11"/>
  <c r="AH380" i="11"/>
  <c r="AH385" i="11"/>
  <c r="AH392" i="11"/>
  <c r="AH360" i="11"/>
  <c r="AH391" i="11"/>
  <c r="AH396" i="11"/>
  <c r="AH362" i="11"/>
  <c r="AH361" i="11"/>
  <c r="BN368" i="11"/>
  <c r="BN365" i="11"/>
  <c r="BN361" i="11"/>
  <c r="BN363" i="11"/>
  <c r="BN373" i="11"/>
  <c r="BN369" i="11"/>
  <c r="BN360" i="11"/>
  <c r="BN375" i="11"/>
  <c r="BN371" i="11"/>
  <c r="BN359" i="11"/>
  <c r="BN367" i="11"/>
  <c r="BN364" i="11"/>
  <c r="BN362" i="11"/>
  <c r="BN372" i="11"/>
  <c r="BN370" i="11"/>
  <c r="BN366" i="11"/>
  <c r="DF376" i="11"/>
  <c r="BN374" i="11"/>
  <c r="DF380" i="11"/>
  <c r="BJ364" i="11"/>
  <c r="BJ379" i="11"/>
  <c r="BJ376" i="11"/>
  <c r="BJ377" i="11"/>
  <c r="BJ375" i="11"/>
  <c r="BJ373" i="11"/>
  <c r="BJ368" i="11"/>
  <c r="BJ371" i="11"/>
  <c r="BJ361" i="11"/>
  <c r="BJ359" i="11"/>
  <c r="BJ372" i="11"/>
  <c r="BJ370" i="11"/>
  <c r="BJ365" i="11"/>
  <c r="BJ360" i="11"/>
  <c r="BJ367" i="11"/>
  <c r="BJ369" i="11"/>
  <c r="BJ378" i="11"/>
  <c r="BJ363" i="11"/>
  <c r="BJ374" i="11"/>
  <c r="BJ366" i="11"/>
  <c r="BJ362" i="11"/>
  <c r="CB361" i="11"/>
  <c r="CB360" i="11"/>
  <c r="DF362" i="11"/>
  <c r="CB359" i="11"/>
  <c r="P386" i="11"/>
  <c r="P359" i="11"/>
  <c r="P381" i="11"/>
  <c r="P398" i="11"/>
  <c r="P393" i="11"/>
  <c r="P384" i="11"/>
  <c r="P370" i="11"/>
  <c r="P361" i="11"/>
  <c r="P372" i="11"/>
  <c r="P396" i="11"/>
  <c r="P391" i="11"/>
  <c r="P387" i="11"/>
  <c r="P378" i="11"/>
  <c r="P366" i="11"/>
  <c r="P374" i="11"/>
  <c r="P394" i="11"/>
  <c r="P380" i="11"/>
  <c r="P360" i="11"/>
  <c r="P390" i="11"/>
  <c r="P388" i="11"/>
  <c r="P376" i="11"/>
  <c r="P364" i="11"/>
  <c r="P385" i="11"/>
  <c r="P365" i="11"/>
  <c r="P397" i="11"/>
  <c r="P382" i="11"/>
  <c r="P363" i="11"/>
  <c r="P368" i="11"/>
  <c r="P369" i="11"/>
  <c r="P392" i="11"/>
  <c r="P383" i="11"/>
  <c r="P362" i="11"/>
  <c r="P379" i="11"/>
  <c r="P389" i="11"/>
  <c r="P377" i="11"/>
  <c r="P371" i="11"/>
  <c r="P367" i="11"/>
  <c r="P395" i="11"/>
  <c r="P373" i="11"/>
  <c r="P375" i="11"/>
  <c r="BG367" i="11"/>
  <c r="BG371" i="11"/>
  <c r="BG369" i="11"/>
  <c r="BG375" i="11"/>
  <c r="BG378" i="11"/>
  <c r="BG374" i="11"/>
  <c r="BG377" i="11"/>
  <c r="BG362" i="11"/>
  <c r="BG365" i="11"/>
  <c r="DF383" i="11"/>
  <c r="BG376" i="11"/>
  <c r="BG366" i="11"/>
  <c r="BG364" i="11"/>
  <c r="BG360" i="11"/>
  <c r="BG359" i="11"/>
  <c r="BG370" i="11"/>
  <c r="BG361" i="11"/>
  <c r="BG382" i="11"/>
  <c r="BG379" i="11"/>
  <c r="BG368" i="11"/>
  <c r="BG380" i="11"/>
  <c r="BG373" i="11"/>
  <c r="BG372" i="11"/>
  <c r="BG381" i="11"/>
  <c r="BG363" i="11"/>
  <c r="AL371" i="11"/>
  <c r="AL374" i="11"/>
  <c r="AL392" i="11"/>
  <c r="AL360" i="11"/>
  <c r="AL398" i="11"/>
  <c r="AL361" i="11"/>
  <c r="AL367" i="11"/>
  <c r="AL389" i="11"/>
  <c r="AL390" i="11"/>
  <c r="AL393" i="11"/>
  <c r="AL368" i="11"/>
  <c r="AL387" i="11"/>
  <c r="AL362" i="11"/>
  <c r="AL394" i="11"/>
  <c r="AL376" i="11"/>
  <c r="AL379" i="11"/>
  <c r="AL373" i="11"/>
  <c r="AL388" i="11"/>
  <c r="AL364" i="11"/>
  <c r="AL370" i="11"/>
  <c r="AL391" i="11"/>
  <c r="AL372" i="11"/>
  <c r="AL380" i="11"/>
  <c r="AL365" i="11"/>
  <c r="AL383" i="11"/>
  <c r="AL397" i="11"/>
  <c r="AL396" i="11"/>
  <c r="AL377" i="11"/>
  <c r="AL395" i="11"/>
  <c r="AL382" i="11"/>
  <c r="AL375" i="11"/>
  <c r="AL363" i="11"/>
  <c r="AL369" i="11"/>
  <c r="AL378" i="11"/>
  <c r="AL359" i="11"/>
  <c r="AL385" i="11"/>
  <c r="AL381" i="11"/>
  <c r="AL366" i="11"/>
  <c r="AL386" i="11"/>
  <c r="AL384" i="11"/>
  <c r="BI370" i="11"/>
  <c r="BI361" i="11"/>
  <c r="BI360" i="11"/>
  <c r="BI371" i="11"/>
  <c r="BI372" i="11"/>
  <c r="BI377" i="11"/>
  <c r="BI365" i="11"/>
  <c r="BI366" i="11"/>
  <c r="BI364" i="11"/>
  <c r="BI363" i="11"/>
  <c r="BI378" i="11"/>
  <c r="BI375" i="11"/>
  <c r="BI368" i="11"/>
  <c r="BI359" i="11"/>
  <c r="BI380" i="11"/>
  <c r="BI376" i="11"/>
  <c r="BI367" i="11"/>
  <c r="DF381" i="11"/>
  <c r="BI369" i="11"/>
  <c r="BI362" i="11"/>
  <c r="BI373" i="11"/>
  <c r="BI379" i="11"/>
  <c r="BI374" i="11"/>
  <c r="BX363" i="11"/>
  <c r="BX361" i="11"/>
  <c r="DF366" i="11"/>
  <c r="BX362" i="11"/>
  <c r="BX359" i="11"/>
  <c r="BX364" i="11"/>
  <c r="BX365" i="11"/>
  <c r="BX360" i="11"/>
  <c r="L379" i="11"/>
  <c r="L390" i="11"/>
  <c r="L371" i="11"/>
  <c r="L377" i="11"/>
  <c r="L359" i="11"/>
  <c r="L369" i="11"/>
  <c r="L367" i="11"/>
  <c r="L385" i="11"/>
  <c r="L389" i="11"/>
  <c r="L398" i="11"/>
  <c r="L387" i="11"/>
  <c r="L384" i="11"/>
  <c r="L363" i="11"/>
  <c r="L372" i="11"/>
  <c r="L361" i="11"/>
  <c r="L368" i="11"/>
  <c r="L381" i="11"/>
  <c r="L373" i="11"/>
  <c r="L395" i="11"/>
  <c r="L386" i="11"/>
  <c r="L396" i="11"/>
  <c r="L393" i="11"/>
  <c r="L388" i="11"/>
  <c r="L380" i="11"/>
  <c r="L366" i="11"/>
  <c r="L360" i="11"/>
  <c r="L397" i="11"/>
  <c r="L382" i="11"/>
  <c r="L374" i="11"/>
  <c r="L392" i="11"/>
  <c r="L383" i="11"/>
  <c r="L362" i="11"/>
  <c r="L365" i="11"/>
  <c r="L394" i="11"/>
  <c r="L376" i="11"/>
  <c r="L370" i="11"/>
  <c r="L391" i="11"/>
  <c r="L378" i="11"/>
  <c r="L364" i="11"/>
  <c r="L375" i="11"/>
  <c r="BS367" i="11"/>
  <c r="BS369" i="11"/>
  <c r="BS368" i="11"/>
  <c r="BS366" i="11"/>
  <c r="BS360" i="11"/>
  <c r="BS363" i="11"/>
  <c r="BS359" i="11"/>
  <c r="BS370" i="11"/>
  <c r="BS361" i="11"/>
  <c r="BS364" i="11"/>
  <c r="BS362" i="11"/>
  <c r="DF371" i="11"/>
  <c r="BS365" i="11"/>
  <c r="G367" i="11"/>
  <c r="G373" i="11"/>
  <c r="G389" i="11"/>
  <c r="G391" i="11"/>
  <c r="G395" i="11"/>
  <c r="G385" i="11"/>
  <c r="G386" i="11"/>
  <c r="G371" i="11"/>
  <c r="G369" i="11"/>
  <c r="G375" i="11"/>
  <c r="G368" i="11"/>
  <c r="G397" i="11"/>
  <c r="G387" i="11"/>
  <c r="G388" i="11"/>
  <c r="G380" i="11"/>
  <c r="G364" i="11"/>
  <c r="G379" i="11"/>
  <c r="G360" i="11"/>
  <c r="G393" i="11"/>
  <c r="G394" i="11"/>
  <c r="G382" i="11"/>
  <c r="G370" i="11"/>
  <c r="G363" i="11"/>
  <c r="G366" i="11"/>
  <c r="G365" i="11"/>
  <c r="G374" i="11"/>
  <c r="G398" i="11"/>
  <c r="G384" i="11"/>
  <c r="G376" i="11"/>
  <c r="G362" i="11"/>
  <c r="G396" i="11"/>
  <c r="G377" i="11"/>
  <c r="G383" i="11"/>
  <c r="G359" i="11"/>
  <c r="G392" i="11"/>
  <c r="G378" i="11"/>
  <c r="G381" i="11"/>
  <c r="G361" i="11"/>
  <c r="G390" i="11"/>
  <c r="G372" i="11"/>
  <c r="M380" i="11"/>
  <c r="M393" i="11"/>
  <c r="M392" i="11"/>
  <c r="M363" i="11"/>
  <c r="M387" i="11"/>
  <c r="M362" i="11"/>
  <c r="M371" i="11"/>
  <c r="M379" i="11"/>
  <c r="M369" i="11"/>
  <c r="M359" i="11"/>
  <c r="M381" i="11"/>
  <c r="M360" i="11"/>
  <c r="M376" i="11"/>
  <c r="M391" i="11"/>
  <c r="M373" i="11"/>
  <c r="M388" i="11"/>
  <c r="M384" i="11"/>
  <c r="M398" i="11"/>
  <c r="M394" i="11"/>
  <c r="M383" i="11"/>
  <c r="M374" i="11"/>
  <c r="M390" i="11"/>
  <c r="M382" i="11"/>
  <c r="M368" i="11"/>
  <c r="M385" i="11"/>
  <c r="M397" i="11"/>
  <c r="M367" i="11"/>
  <c r="M361" i="11"/>
  <c r="M366" i="11"/>
  <c r="M370" i="11"/>
  <c r="M389" i="11"/>
  <c r="M386" i="11"/>
  <c r="M377" i="11"/>
  <c r="M365" i="11"/>
  <c r="M375" i="11"/>
  <c r="M396" i="11"/>
  <c r="M372" i="11"/>
  <c r="M364" i="11"/>
  <c r="M395" i="11"/>
  <c r="M378" i="11"/>
  <c r="AX387" i="11"/>
  <c r="AX375" i="11"/>
  <c r="AX391" i="11"/>
  <c r="AX361" i="11"/>
  <c r="AX370" i="11"/>
  <c r="AX368" i="11"/>
  <c r="AX380" i="11"/>
  <c r="AX364" i="11"/>
  <c r="AX369" i="11"/>
  <c r="AX374" i="11"/>
  <c r="AX363" i="11"/>
  <c r="AX379" i="11"/>
  <c r="AX389" i="11"/>
  <c r="DF392" i="11"/>
  <c r="AX386" i="11"/>
  <c r="AX381" i="11"/>
  <c r="AX360" i="11"/>
  <c r="AX382" i="11"/>
  <c r="AX376" i="11"/>
  <c r="AX373" i="11"/>
  <c r="AX372" i="11"/>
  <c r="AX383" i="11"/>
  <c r="AX385" i="11"/>
  <c r="AX359" i="11"/>
  <c r="AX377" i="11"/>
  <c r="AX366" i="11"/>
  <c r="AX388" i="11"/>
  <c r="AX384" i="11"/>
  <c r="AX367" i="11"/>
  <c r="AX365" i="11"/>
  <c r="AX371" i="11"/>
  <c r="AX390" i="11"/>
  <c r="AX378" i="11"/>
  <c r="AX362" i="11"/>
  <c r="CC359" i="11"/>
  <c r="DF361" i="11"/>
  <c r="CC360" i="11"/>
  <c r="N386" i="11"/>
  <c r="N391" i="11"/>
  <c r="N366" i="11"/>
  <c r="N390" i="11"/>
  <c r="N397" i="11"/>
  <c r="N370" i="11"/>
  <c r="N394" i="11"/>
  <c r="N375" i="11"/>
  <c r="N396" i="11"/>
  <c r="N379" i="11"/>
  <c r="N364" i="11"/>
  <c r="N361" i="11"/>
  <c r="N398" i="11"/>
  <c r="N372" i="11"/>
  <c r="N383" i="11"/>
  <c r="N360" i="11"/>
  <c r="N363" i="11"/>
  <c r="N381" i="11"/>
  <c r="N385" i="11"/>
  <c r="N377" i="11"/>
  <c r="N376" i="11"/>
  <c r="N378" i="11"/>
  <c r="N359" i="11"/>
  <c r="N367" i="11"/>
  <c r="N384" i="11"/>
  <c r="N374" i="11"/>
  <c r="N368" i="11"/>
  <c r="N369" i="11"/>
  <c r="N395" i="11"/>
  <c r="N371" i="11"/>
  <c r="N392" i="11"/>
  <c r="N387" i="11"/>
  <c r="N380" i="11"/>
  <c r="N362" i="11"/>
  <c r="N393" i="11"/>
  <c r="N382" i="11"/>
  <c r="N365" i="11"/>
  <c r="N389" i="11"/>
  <c r="N388" i="11"/>
  <c r="N373" i="11"/>
  <c r="BT369" i="11"/>
  <c r="BT359" i="11"/>
  <c r="BT368" i="11"/>
  <c r="BT362" i="11"/>
  <c r="BT364" i="11"/>
  <c r="DF370" i="11"/>
  <c r="BT367" i="11"/>
  <c r="BT365" i="11"/>
  <c r="BT363" i="11"/>
  <c r="BT360" i="11"/>
  <c r="BT366" i="11"/>
  <c r="BT361" i="11"/>
  <c r="H377" i="11"/>
  <c r="H386" i="11"/>
  <c r="H395" i="11"/>
  <c r="H385" i="11"/>
  <c r="H381" i="11"/>
  <c r="H379" i="11"/>
  <c r="H368" i="11"/>
  <c r="H390" i="11"/>
  <c r="H369" i="11"/>
  <c r="H359" i="11"/>
  <c r="H371" i="11"/>
  <c r="H365" i="11"/>
  <c r="H373" i="11"/>
  <c r="H367" i="11"/>
  <c r="H396" i="11"/>
  <c r="H391" i="11"/>
  <c r="H384" i="11"/>
  <c r="H376" i="11"/>
  <c r="H362" i="11"/>
  <c r="H361" i="11"/>
  <c r="H375" i="11"/>
  <c r="H389" i="11"/>
  <c r="H394" i="11"/>
  <c r="H388" i="11"/>
  <c r="H380" i="11"/>
  <c r="H372" i="11"/>
  <c r="H374" i="11"/>
  <c r="H364" i="11"/>
  <c r="H398" i="11"/>
  <c r="H397" i="11"/>
  <c r="H382" i="11"/>
  <c r="H366" i="11"/>
  <c r="H392" i="11"/>
  <c r="H383" i="11"/>
  <c r="H370" i="11"/>
  <c r="H393" i="11"/>
  <c r="H378" i="11"/>
  <c r="H360" i="11"/>
  <c r="H387" i="11"/>
  <c r="H363" i="11"/>
  <c r="BO369" i="11"/>
  <c r="BO367" i="11"/>
  <c r="BO371" i="11"/>
  <c r="BO374" i="11"/>
  <c r="BO364" i="11"/>
  <c r="BO359" i="11"/>
  <c r="DF375" i="11"/>
  <c r="BO366" i="11"/>
  <c r="BO363" i="11"/>
  <c r="BO365" i="11"/>
  <c r="BO362" i="11"/>
  <c r="BO361" i="11"/>
  <c r="BO370" i="11"/>
  <c r="BO373" i="11"/>
  <c r="BO360" i="11"/>
  <c r="BO368" i="11"/>
  <c r="BO372" i="11"/>
  <c r="AP370" i="11"/>
  <c r="AP374" i="11"/>
  <c r="AP389" i="11"/>
  <c r="AP390" i="11"/>
  <c r="AP369" i="11"/>
  <c r="AP398" i="11"/>
  <c r="AP376" i="11"/>
  <c r="AP388" i="11"/>
  <c r="AP364" i="11"/>
  <c r="AP394" i="11"/>
  <c r="AP359" i="11"/>
  <c r="AP384" i="11"/>
  <c r="AP382" i="11"/>
  <c r="AP381" i="11"/>
  <c r="AP383" i="11"/>
  <c r="AP371" i="11"/>
  <c r="AP375" i="11"/>
  <c r="AP392" i="11"/>
  <c r="AP397" i="11"/>
  <c r="AP360" i="11"/>
  <c r="AP368" i="11"/>
  <c r="AP372" i="11"/>
  <c r="AP386" i="11"/>
  <c r="AP365" i="11"/>
  <c r="AP377" i="11"/>
  <c r="AP379" i="11"/>
  <c r="AP362" i="11"/>
  <c r="AP373" i="11"/>
  <c r="AP385" i="11"/>
  <c r="AP363" i="11"/>
  <c r="AP391" i="11"/>
  <c r="AP393" i="11"/>
  <c r="AP395" i="11"/>
  <c r="AP367" i="11"/>
  <c r="AP361" i="11"/>
  <c r="AP366" i="11"/>
  <c r="AP380" i="11"/>
  <c r="AP378" i="11"/>
  <c r="AP396" i="11"/>
  <c r="AP387" i="11"/>
  <c r="AO394" i="11"/>
  <c r="AO371" i="11"/>
  <c r="AO375" i="11"/>
  <c r="AO366" i="11"/>
  <c r="AO384" i="11"/>
  <c r="AO376" i="11"/>
  <c r="AO364" i="11"/>
  <c r="AO381" i="11"/>
  <c r="AO398" i="11"/>
  <c r="AO369" i="11"/>
  <c r="AO373" i="11"/>
  <c r="AO374" i="11"/>
  <c r="AO368" i="11"/>
  <c r="AO390" i="11"/>
  <c r="AO389" i="11"/>
  <c r="AO397" i="11"/>
  <c r="AO361" i="11"/>
  <c r="AO379" i="11"/>
  <c r="AO359" i="11"/>
  <c r="AO388" i="11"/>
  <c r="AO392" i="11"/>
  <c r="AO386" i="11"/>
  <c r="AO365" i="11"/>
  <c r="AO378" i="11"/>
  <c r="AO367" i="11"/>
  <c r="AO360" i="11"/>
  <c r="AO393" i="11"/>
  <c r="AO396" i="11"/>
  <c r="AO377" i="11"/>
  <c r="AO391" i="11"/>
  <c r="AO382" i="11"/>
  <c r="AO387" i="11"/>
  <c r="AO372" i="11"/>
  <c r="AO383" i="11"/>
  <c r="AO380" i="11"/>
  <c r="AO363" i="11"/>
  <c r="AO385" i="11"/>
  <c r="AO370" i="11"/>
  <c r="AO362" i="11"/>
  <c r="AO395" i="11"/>
  <c r="BM370" i="11"/>
  <c r="BM360" i="11"/>
  <c r="BM375" i="11"/>
  <c r="BM363" i="11"/>
  <c r="BM361" i="11"/>
  <c r="BM372" i="11"/>
  <c r="BM359" i="11"/>
  <c r="BM374" i="11"/>
  <c r="BM366" i="11"/>
  <c r="BM373" i="11"/>
  <c r="BM362" i="11"/>
  <c r="BM365" i="11"/>
  <c r="BM371" i="11"/>
  <c r="BM368" i="11"/>
  <c r="DF377" i="11"/>
  <c r="BM369" i="11"/>
  <c r="BM367" i="11"/>
  <c r="BM376" i="11"/>
  <c r="BM364" i="11"/>
  <c r="BF380" i="11"/>
  <c r="BF362" i="11"/>
  <c r="BF368" i="11"/>
  <c r="BF383" i="11"/>
  <c r="BF359" i="11"/>
  <c r="BF381" i="11"/>
  <c r="BF373" i="11"/>
  <c r="BF374" i="11"/>
  <c r="BF363" i="11"/>
  <c r="BF375" i="11"/>
  <c r="BF367" i="11"/>
  <c r="BF366" i="11"/>
  <c r="BF371" i="11"/>
  <c r="BF370" i="11"/>
  <c r="DF384" i="11"/>
  <c r="BF378" i="11"/>
  <c r="BF376" i="11"/>
  <c r="BF364" i="11"/>
  <c r="BF382" i="11"/>
  <c r="BF372" i="11"/>
  <c r="BF360" i="11"/>
  <c r="BF377" i="11"/>
  <c r="BF361" i="11"/>
  <c r="BF379" i="11"/>
  <c r="BF365" i="11"/>
  <c r="BF369" i="11"/>
  <c r="BH367" i="11"/>
  <c r="BH373" i="11"/>
  <c r="BH381" i="11"/>
  <c r="BH379" i="11"/>
  <c r="DF382" i="11"/>
  <c r="BH377" i="11"/>
  <c r="BH376" i="11"/>
  <c r="BH372" i="11"/>
  <c r="BH361" i="11"/>
  <c r="BH371" i="11"/>
  <c r="BH359" i="11"/>
  <c r="BH369" i="11"/>
  <c r="BH380" i="11"/>
  <c r="BH362" i="11"/>
  <c r="BH360" i="11"/>
  <c r="BH363" i="11"/>
  <c r="BH370" i="11"/>
  <c r="BH374" i="11"/>
  <c r="BH366" i="11"/>
  <c r="BH378" i="11"/>
  <c r="BH364" i="11"/>
  <c r="BH368" i="11"/>
  <c r="BH365" i="11"/>
  <c r="BH375" i="11"/>
  <c r="BC373" i="11"/>
  <c r="BC385" i="11"/>
  <c r="BC386" i="11"/>
  <c r="BC369" i="11"/>
  <c r="BC367" i="11"/>
  <c r="BC368" i="11"/>
  <c r="BC371" i="11"/>
  <c r="BC375" i="11"/>
  <c r="BC384" i="11"/>
  <c r="BC378" i="11"/>
  <c r="BC370" i="11"/>
  <c r="BC364" i="11"/>
  <c r="BC377" i="11"/>
  <c r="BC361" i="11"/>
  <c r="DF387" i="11"/>
  <c r="BC376" i="11"/>
  <c r="BC381" i="11"/>
  <c r="BC372" i="11"/>
  <c r="BC365" i="11"/>
  <c r="BC380" i="11"/>
  <c r="BC374" i="11"/>
  <c r="BC362" i="11"/>
  <c r="BC383" i="11"/>
  <c r="BC366" i="11"/>
  <c r="BC359" i="11"/>
  <c r="BC382" i="11"/>
  <c r="BC379" i="11"/>
  <c r="BC360" i="11"/>
  <c r="BC363" i="11"/>
  <c r="BZ363" i="11"/>
  <c r="BZ362" i="11"/>
  <c r="BZ359" i="11"/>
  <c r="BZ360" i="11"/>
  <c r="DF364" i="11"/>
  <c r="BZ361" i="11"/>
  <c r="BD369" i="11"/>
  <c r="BD377" i="11"/>
  <c r="BD385" i="11"/>
  <c r="BD359" i="11"/>
  <c r="DF386" i="11"/>
  <c r="BD367" i="11"/>
  <c r="BD381" i="11"/>
  <c r="BD375" i="11"/>
  <c r="BD365" i="11"/>
  <c r="BD379" i="11"/>
  <c r="BD371" i="11"/>
  <c r="BD368" i="11"/>
  <c r="BD373" i="11"/>
  <c r="BD380" i="11"/>
  <c r="BD372" i="11"/>
  <c r="BD360" i="11"/>
  <c r="BD383" i="11"/>
  <c r="BD378" i="11"/>
  <c r="BD366" i="11"/>
  <c r="BD364" i="11"/>
  <c r="BD382" i="11"/>
  <c r="BD376" i="11"/>
  <c r="BD362" i="11"/>
  <c r="BD374" i="11"/>
  <c r="BD384" i="11"/>
  <c r="BD363" i="11"/>
  <c r="BD370" i="11"/>
  <c r="BD361" i="11"/>
  <c r="AY368" i="11"/>
  <c r="DF391" i="11"/>
  <c r="AY375" i="11"/>
  <c r="AY367" i="11"/>
  <c r="AY385" i="11"/>
  <c r="AY389" i="11"/>
  <c r="AY387" i="11"/>
  <c r="AY383" i="11"/>
  <c r="AY380" i="11"/>
  <c r="AY366" i="11"/>
  <c r="AY373" i="11"/>
  <c r="AY369" i="11"/>
  <c r="AY374" i="11"/>
  <c r="AY362" i="11"/>
  <c r="AY390" i="11"/>
  <c r="AY382" i="11"/>
  <c r="AY370" i="11"/>
  <c r="AY364" i="11"/>
  <c r="AY365" i="11"/>
  <c r="AY386" i="11"/>
  <c r="AY379" i="11"/>
  <c r="AY361" i="11"/>
  <c r="AY378" i="11"/>
  <c r="AY372" i="11"/>
  <c r="AY371" i="11"/>
  <c r="AY384" i="11"/>
  <c r="AY376" i="11"/>
  <c r="AY377" i="11"/>
  <c r="AY363" i="11"/>
  <c r="AY360" i="11"/>
  <c r="AY388" i="11"/>
  <c r="AY381" i="11"/>
  <c r="AY359" i="11"/>
  <c r="I391" i="11"/>
  <c r="I398" i="11"/>
  <c r="I360" i="11"/>
  <c r="I374" i="11"/>
  <c r="I392" i="11"/>
  <c r="I368" i="11"/>
  <c r="I385" i="11"/>
  <c r="I390" i="11"/>
  <c r="I362" i="11"/>
  <c r="I377" i="11"/>
  <c r="I397" i="11"/>
  <c r="I359" i="11"/>
  <c r="I376" i="11"/>
  <c r="I387" i="11"/>
  <c r="I363" i="11"/>
  <c r="I388" i="11"/>
  <c r="I375" i="11"/>
  <c r="I384" i="11"/>
  <c r="I383" i="11"/>
  <c r="I361" i="11"/>
  <c r="I372" i="11"/>
  <c r="I378" i="11"/>
  <c r="I395" i="11"/>
  <c r="I394" i="11"/>
  <c r="I367" i="11"/>
  <c r="I370" i="11"/>
  <c r="I396" i="11"/>
  <c r="I380" i="11"/>
  <c r="I389" i="11"/>
  <c r="I371" i="11"/>
  <c r="I386" i="11"/>
  <c r="I373" i="11"/>
  <c r="I366" i="11"/>
  <c r="I393" i="11"/>
  <c r="I364" i="11"/>
  <c r="I381" i="11"/>
  <c r="I365" i="11"/>
  <c r="I382" i="11"/>
  <c r="I379" i="11"/>
  <c r="I369" i="11"/>
  <c r="BK361" i="11"/>
  <c r="BK376" i="11"/>
  <c r="BK372" i="11"/>
  <c r="BK362" i="11"/>
  <c r="BK371" i="11"/>
  <c r="BK374" i="11"/>
  <c r="BK364" i="11"/>
  <c r="BK365" i="11"/>
  <c r="BK373" i="11"/>
  <c r="BK370" i="11"/>
  <c r="BK363" i="11"/>
  <c r="BK359" i="11"/>
  <c r="BK378" i="11"/>
  <c r="BK366" i="11"/>
  <c r="BK377" i="11"/>
  <c r="BK375" i="11"/>
  <c r="BK368" i="11"/>
  <c r="BK369" i="11"/>
  <c r="BK367" i="11"/>
  <c r="DF379" i="11"/>
  <c r="BK360" i="11"/>
  <c r="Z378" i="11"/>
  <c r="Z393" i="11"/>
  <c r="Z368" i="11"/>
  <c r="Z398" i="11"/>
  <c r="Z362" i="11"/>
  <c r="Z369" i="11"/>
  <c r="Z391" i="11"/>
  <c r="Z382" i="11"/>
  <c r="Z361" i="11"/>
  <c r="Z377" i="11"/>
  <c r="Z383" i="11"/>
  <c r="Z367" i="11"/>
  <c r="Z372" i="11"/>
  <c r="Z359" i="11"/>
  <c r="Z381" i="11"/>
  <c r="Z371" i="11"/>
  <c r="Z379" i="11"/>
  <c r="Z364" i="11"/>
  <c r="Z366" i="11"/>
  <c r="Z380" i="11"/>
  <c r="Z384" i="11"/>
  <c r="Z387" i="11"/>
  <c r="Z376" i="11"/>
  <c r="Z363" i="11"/>
  <c r="Z397" i="11"/>
  <c r="Z388" i="11"/>
  <c r="Z395" i="11"/>
  <c r="Z394" i="11"/>
  <c r="Z365" i="11"/>
  <c r="Z360" i="11"/>
  <c r="Z386" i="11"/>
  <c r="Z385" i="11"/>
  <c r="Z392" i="11"/>
  <c r="Z389" i="11"/>
  <c r="Z375" i="11"/>
  <c r="Z396" i="11"/>
  <c r="Z373" i="11"/>
  <c r="Z370" i="11"/>
  <c r="Z374" i="11"/>
  <c r="Z390" i="11"/>
  <c r="CA361" i="11"/>
  <c r="CA362" i="11"/>
  <c r="DF363" i="11"/>
  <c r="CA359" i="11"/>
  <c r="CA360" i="11"/>
  <c r="BL371" i="11"/>
  <c r="DF378" i="11"/>
  <c r="BL362" i="11"/>
  <c r="BL361" i="11"/>
  <c r="BL368" i="11"/>
  <c r="BL369" i="11"/>
  <c r="BL363" i="11"/>
  <c r="BL367" i="11"/>
  <c r="BL372" i="11"/>
  <c r="BL370" i="11"/>
  <c r="BL360" i="11"/>
  <c r="BL374" i="11"/>
  <c r="BL364" i="11"/>
  <c r="BL377" i="11"/>
  <c r="BL373" i="11"/>
  <c r="BL376" i="11"/>
  <c r="BL366" i="11"/>
  <c r="BL375" i="11"/>
  <c r="BL359" i="11"/>
  <c r="BL365" i="11"/>
  <c r="AQ385" i="11"/>
  <c r="AQ389" i="11"/>
  <c r="AQ391" i="11"/>
  <c r="AQ394" i="11"/>
  <c r="AQ395" i="11"/>
  <c r="AQ388" i="11"/>
  <c r="AQ382" i="11"/>
  <c r="AQ381" i="11"/>
  <c r="AQ379" i="11"/>
  <c r="AQ363" i="11"/>
  <c r="AQ361" i="11"/>
  <c r="AQ372" i="11"/>
  <c r="AQ396" i="11"/>
  <c r="AQ390" i="11"/>
  <c r="AQ384" i="11"/>
  <c r="AQ380" i="11"/>
  <c r="AQ370" i="11"/>
  <c r="AQ373" i="11"/>
  <c r="AQ369" i="11"/>
  <c r="AQ359" i="11"/>
  <c r="AQ368" i="11"/>
  <c r="AQ397" i="11"/>
  <c r="AQ386" i="11"/>
  <c r="AQ374" i="11"/>
  <c r="AQ362" i="11"/>
  <c r="AQ365" i="11"/>
  <c r="AQ393" i="11"/>
  <c r="AQ383" i="11"/>
  <c r="AQ366" i="11"/>
  <c r="AQ367" i="11"/>
  <c r="AQ387" i="11"/>
  <c r="AQ378" i="11"/>
  <c r="AQ377" i="11"/>
  <c r="AQ360" i="11"/>
  <c r="AQ398" i="11"/>
  <c r="AQ392" i="11"/>
  <c r="AQ376" i="11"/>
  <c r="AQ364" i="11"/>
  <c r="AQ375" i="11"/>
  <c r="AQ371" i="11"/>
  <c r="J397" i="11"/>
  <c r="J385" i="11"/>
  <c r="J377" i="11"/>
  <c r="J386" i="11"/>
  <c r="J360" i="11"/>
  <c r="J361" i="11"/>
  <c r="J382" i="11"/>
  <c r="J362" i="11"/>
  <c r="J378" i="11"/>
  <c r="J384" i="11"/>
  <c r="J391" i="11"/>
  <c r="J369" i="11"/>
  <c r="J374" i="11"/>
  <c r="J379" i="11"/>
  <c r="J365" i="11"/>
  <c r="J380" i="11"/>
  <c r="J398" i="11"/>
  <c r="J376" i="11"/>
  <c r="J388" i="11"/>
  <c r="J370" i="11"/>
  <c r="J389" i="11"/>
  <c r="J383" i="11"/>
  <c r="J363" i="11"/>
  <c r="J393" i="11"/>
  <c r="J359" i="11"/>
  <c r="J396" i="11"/>
  <c r="J392" i="11"/>
  <c r="J368" i="11"/>
  <c r="J366" i="11"/>
  <c r="J381" i="11"/>
  <c r="J390" i="11"/>
  <c r="J371" i="11"/>
  <c r="J387" i="11"/>
  <c r="J372" i="11"/>
  <c r="J375" i="11"/>
  <c r="J367" i="11"/>
  <c r="J395" i="11"/>
  <c r="J394" i="11"/>
  <c r="J373" i="11"/>
  <c r="J364" i="11"/>
  <c r="AW360" i="11"/>
  <c r="AW364" i="11"/>
  <c r="AW384" i="11"/>
  <c r="AW377" i="11"/>
  <c r="AW383" i="11"/>
  <c r="AW379" i="11"/>
  <c r="AW380" i="11"/>
  <c r="AW359" i="11"/>
  <c r="AW374" i="11"/>
  <c r="AW392" i="11"/>
  <c r="DF393" i="11"/>
  <c r="AW373" i="11"/>
  <c r="AW381" i="11"/>
  <c r="AW362" i="11"/>
  <c r="AW369" i="11"/>
  <c r="AW390" i="11"/>
  <c r="AW363" i="11"/>
  <c r="AW385" i="11"/>
  <c r="AW361" i="11"/>
  <c r="AW386" i="11"/>
  <c r="AW365" i="11"/>
  <c r="AW375" i="11"/>
  <c r="AW370" i="11"/>
  <c r="AW378" i="11"/>
  <c r="AW388" i="11"/>
  <c r="AW382" i="11"/>
  <c r="AW372" i="11"/>
  <c r="AW387" i="11"/>
  <c r="AW376" i="11"/>
  <c r="AW368" i="11"/>
  <c r="AW366" i="11"/>
  <c r="AW371" i="11"/>
  <c r="AW391" i="11"/>
  <c r="AW367" i="11"/>
  <c r="AW389" i="11"/>
  <c r="BB368" i="11"/>
  <c r="BB367" i="11"/>
  <c r="BB361" i="11"/>
  <c r="BB384" i="11"/>
  <c r="BB376" i="11"/>
  <c r="DF388" i="11"/>
  <c r="BB375" i="11"/>
  <c r="BB381" i="11"/>
  <c r="BB363" i="11"/>
  <c r="BB374" i="11"/>
  <c r="BB371" i="11"/>
  <c r="BB366" i="11"/>
  <c r="BB385" i="11"/>
  <c r="BB387" i="11"/>
  <c r="BB377" i="11"/>
  <c r="BB379" i="11"/>
  <c r="BB370" i="11"/>
  <c r="BB365" i="11"/>
  <c r="BB378" i="11"/>
  <c r="BB369" i="11"/>
  <c r="BB362" i="11"/>
  <c r="BB360" i="11"/>
  <c r="BB382" i="11"/>
  <c r="BB372" i="11"/>
  <c r="BB373" i="11"/>
  <c r="BB383" i="11"/>
  <c r="BB380" i="11"/>
  <c r="BB386" i="11"/>
  <c r="BB364" i="11"/>
  <c r="BB359" i="11"/>
  <c r="AZ385" i="11"/>
  <c r="AZ379" i="11"/>
  <c r="AZ381" i="11"/>
  <c r="AZ377" i="11"/>
  <c r="AZ373" i="11"/>
  <c r="AZ371" i="11"/>
  <c r="AZ367" i="11"/>
  <c r="AZ389" i="11"/>
  <c r="DF390" i="11"/>
  <c r="AZ365" i="11"/>
  <c r="AZ375" i="11"/>
  <c r="AZ386" i="11"/>
  <c r="AZ360" i="11"/>
  <c r="AZ359" i="11"/>
  <c r="AZ388" i="11"/>
  <c r="AZ380" i="11"/>
  <c r="AZ366" i="11"/>
  <c r="AZ364" i="11"/>
  <c r="AZ369" i="11"/>
  <c r="AZ387" i="11"/>
  <c r="AZ374" i="11"/>
  <c r="AZ370" i="11"/>
  <c r="AZ378" i="11"/>
  <c r="AZ383" i="11"/>
  <c r="AZ372" i="11"/>
  <c r="AZ368" i="11"/>
  <c r="AZ363" i="11"/>
  <c r="AZ382" i="11"/>
  <c r="AZ376" i="11"/>
  <c r="AZ362" i="11"/>
  <c r="AZ361" i="11"/>
  <c r="AZ384" i="11"/>
  <c r="AE369" i="11"/>
  <c r="AE367" i="11"/>
  <c r="AE373" i="11"/>
  <c r="AE360" i="11"/>
  <c r="AE395" i="11"/>
  <c r="AE398" i="11"/>
  <c r="AE393" i="11"/>
  <c r="AE384" i="11"/>
  <c r="AE378" i="11"/>
  <c r="AE396" i="11"/>
  <c r="AE387" i="11"/>
  <c r="AE397" i="11"/>
  <c r="AE383" i="11"/>
  <c r="AE380" i="11"/>
  <c r="AE372" i="11"/>
  <c r="AE366" i="11"/>
  <c r="AE359" i="11"/>
  <c r="AE391" i="11"/>
  <c r="AE394" i="11"/>
  <c r="AE382" i="11"/>
  <c r="AE374" i="11"/>
  <c r="AE364" i="11"/>
  <c r="AE362" i="11"/>
  <c r="AE381" i="11"/>
  <c r="AE392" i="11"/>
  <c r="AE386" i="11"/>
  <c r="AE370" i="11"/>
  <c r="AE363" i="11"/>
  <c r="AE379" i="11"/>
  <c r="AE390" i="11"/>
  <c r="AE388" i="11"/>
  <c r="AE376" i="11"/>
  <c r="AE377" i="11"/>
  <c r="AE365" i="11"/>
  <c r="AE361" i="11"/>
  <c r="AE385" i="11"/>
  <c r="AE375" i="11"/>
  <c r="AE368" i="11"/>
  <c r="AE389" i="11"/>
  <c r="AE371" i="11"/>
  <c r="AD383" i="11"/>
  <c r="AD367" i="11"/>
  <c r="AD375" i="11"/>
  <c r="AD376" i="11"/>
  <c r="AD371" i="11"/>
  <c r="AD378" i="11"/>
  <c r="AD379" i="11"/>
  <c r="AD387" i="11"/>
  <c r="AD359" i="11"/>
  <c r="AD388" i="11"/>
  <c r="AD374" i="11"/>
  <c r="AD369" i="11"/>
  <c r="AD366" i="11"/>
  <c r="AD386" i="11"/>
  <c r="AD381" i="11"/>
  <c r="AD393" i="11"/>
  <c r="AD364" i="11"/>
  <c r="AD397" i="11"/>
  <c r="AD370" i="11"/>
  <c r="AD385" i="11"/>
  <c r="AD391" i="11"/>
  <c r="AD396" i="11"/>
  <c r="AD380" i="11"/>
  <c r="AD390" i="11"/>
  <c r="AD392" i="11"/>
  <c r="AD377" i="11"/>
  <c r="AD360" i="11"/>
  <c r="AD368" i="11"/>
  <c r="AD384" i="11"/>
  <c r="AD389" i="11"/>
  <c r="AD361" i="11"/>
  <c r="AD398" i="11"/>
  <c r="AD362" i="11"/>
  <c r="AD363" i="11"/>
  <c r="AD372" i="11"/>
  <c r="AD394" i="11"/>
  <c r="AD365" i="11"/>
  <c r="AD395" i="11"/>
  <c r="AD373" i="11"/>
  <c r="AD382" i="11"/>
  <c r="DF372" i="11"/>
  <c r="BR360" i="11"/>
  <c r="BR370" i="11"/>
  <c r="BR368" i="11"/>
  <c r="BR361" i="11"/>
  <c r="BR369" i="11"/>
  <c r="BR371" i="11"/>
  <c r="BR365" i="11"/>
  <c r="BR363" i="11"/>
  <c r="BR366" i="11"/>
  <c r="BR359" i="11"/>
  <c r="BR362" i="11"/>
  <c r="BR364" i="11"/>
  <c r="BR367" i="11"/>
  <c r="AU385" i="11"/>
  <c r="AU387" i="11"/>
  <c r="AU382" i="11"/>
  <c r="AU376" i="11"/>
  <c r="AU377" i="11"/>
  <c r="AU363" i="11"/>
  <c r="AU359" i="11"/>
  <c r="AU394" i="11"/>
  <c r="AU390" i="11"/>
  <c r="AU388" i="11"/>
  <c r="AU374" i="11"/>
  <c r="AU372" i="11"/>
  <c r="AU381" i="11"/>
  <c r="AU393" i="11"/>
  <c r="AU384" i="11"/>
  <c r="AU378" i="11"/>
  <c r="AU370" i="11"/>
  <c r="AU364" i="11"/>
  <c r="AU362" i="11"/>
  <c r="AU375" i="11"/>
  <c r="AU392" i="11"/>
  <c r="AU383" i="11"/>
  <c r="AU380" i="11"/>
  <c r="AU366" i="11"/>
  <c r="AU379" i="11"/>
  <c r="AU365" i="11"/>
  <c r="AU391" i="11"/>
  <c r="AU371" i="11"/>
  <c r="AU389" i="11"/>
  <c r="AU360" i="11"/>
  <c r="DF395" i="11"/>
  <c r="AU367" i="11"/>
  <c r="AU369" i="11"/>
  <c r="AU368" i="11"/>
  <c r="AU386" i="11"/>
  <c r="AU373" i="11"/>
  <c r="AU361" i="11"/>
  <c r="AV386" i="11"/>
  <c r="AV388" i="11"/>
  <c r="AV382" i="11"/>
  <c r="AV370" i="11"/>
  <c r="AV362" i="11"/>
  <c r="AV366" i="11"/>
  <c r="AV393" i="11"/>
  <c r="AV384" i="11"/>
  <c r="AV363" i="11"/>
  <c r="AV372" i="11"/>
  <c r="AV364" i="11"/>
  <c r="DF394" i="11"/>
  <c r="AV387" i="11"/>
  <c r="AV380" i="11"/>
  <c r="AV376" i="11"/>
  <c r="AV361" i="11"/>
  <c r="AV367" i="11"/>
  <c r="AV391" i="11"/>
  <c r="AV383" i="11"/>
  <c r="AV378" i="11"/>
  <c r="AV374" i="11"/>
  <c r="AV360" i="11"/>
  <c r="AV371" i="11"/>
  <c r="AV369" i="11"/>
  <c r="AV368" i="11"/>
  <c r="AV379" i="11"/>
  <c r="AV392" i="11"/>
  <c r="AV390" i="11"/>
  <c r="AV381" i="11"/>
  <c r="AV385" i="11"/>
  <c r="AV359" i="11"/>
  <c r="AV365" i="11"/>
  <c r="AV375" i="11"/>
  <c r="AV377" i="11"/>
  <c r="AV389" i="11"/>
  <c r="AV373" i="11"/>
  <c r="AA386" i="11"/>
  <c r="AA391" i="11"/>
  <c r="AA368" i="11"/>
  <c r="AA389" i="11"/>
  <c r="AA385" i="11"/>
  <c r="AA397" i="11"/>
  <c r="AA395" i="11"/>
  <c r="AA394" i="11"/>
  <c r="AA378" i="11"/>
  <c r="AA381" i="11"/>
  <c r="AA373" i="11"/>
  <c r="AA362" i="11"/>
  <c r="AA369" i="11"/>
  <c r="AA359" i="11"/>
  <c r="AA393" i="11"/>
  <c r="AA392" i="11"/>
  <c r="AA383" i="11"/>
  <c r="AA374" i="11"/>
  <c r="AA377" i="11"/>
  <c r="AA363" i="11"/>
  <c r="AA361" i="11"/>
  <c r="AA375" i="11"/>
  <c r="AA390" i="11"/>
  <c r="AA380" i="11"/>
  <c r="AA364" i="11"/>
  <c r="AA365" i="11"/>
  <c r="AA398" i="11"/>
  <c r="AA388" i="11"/>
  <c r="AA370" i="11"/>
  <c r="AA366" i="11"/>
  <c r="AA367" i="11"/>
  <c r="AA396" i="11"/>
  <c r="AA384" i="11"/>
  <c r="AA379" i="11"/>
  <c r="AA372" i="11"/>
  <c r="AA387" i="11"/>
  <c r="AA382" i="11"/>
  <c r="AA376" i="11"/>
  <c r="AA360" i="11"/>
  <c r="AA371" i="11"/>
  <c r="BA381" i="11"/>
  <c r="BA387" i="11"/>
  <c r="BA371" i="11"/>
  <c r="BA365" i="11"/>
  <c r="BA362" i="11"/>
  <c r="BA367" i="11"/>
  <c r="BA378" i="11"/>
  <c r="BA370" i="11"/>
  <c r="BA368" i="11"/>
  <c r="BA382" i="11"/>
  <c r="BA376" i="11"/>
  <c r="BA360" i="11"/>
  <c r="BA372" i="11"/>
  <c r="BA364" i="11"/>
  <c r="BA385" i="11"/>
  <c r="BA361" i="11"/>
  <c r="BA375" i="11"/>
  <c r="BA383" i="11"/>
  <c r="BA363" i="11"/>
  <c r="BA374" i="11"/>
  <c r="BA388" i="11"/>
  <c r="BA384" i="11"/>
  <c r="BA386" i="11"/>
  <c r="BA380" i="11"/>
  <c r="BA369" i="11"/>
  <c r="BA373" i="11"/>
  <c r="BA359" i="11"/>
  <c r="BA366" i="11"/>
  <c r="BA377" i="11"/>
  <c r="DF389" i="11"/>
  <c r="BA379" i="11"/>
  <c r="R393" i="11"/>
  <c r="R371" i="11"/>
  <c r="R383" i="11"/>
  <c r="R391" i="11"/>
  <c r="R368" i="11"/>
  <c r="R370" i="11"/>
  <c r="R379" i="11"/>
  <c r="R364" i="11"/>
  <c r="R361" i="11"/>
  <c r="R376" i="11"/>
  <c r="R397" i="11"/>
  <c r="R367" i="11"/>
  <c r="R372" i="11"/>
  <c r="R359" i="11"/>
  <c r="R394" i="11"/>
  <c r="R390" i="11"/>
  <c r="R377" i="11"/>
  <c r="R387" i="11"/>
  <c r="R374" i="11"/>
  <c r="R375" i="11"/>
  <c r="R381" i="11"/>
  <c r="R363" i="11"/>
  <c r="R396" i="11"/>
  <c r="R360" i="11"/>
  <c r="R385" i="11"/>
  <c r="R386" i="11"/>
  <c r="R366" i="11"/>
  <c r="R382" i="11"/>
  <c r="R378" i="11"/>
  <c r="R373" i="11"/>
  <c r="R398" i="11"/>
  <c r="R392" i="11"/>
  <c r="R362" i="11"/>
  <c r="R365" i="11"/>
  <c r="R384" i="11"/>
  <c r="R395" i="11"/>
  <c r="R380" i="11"/>
  <c r="R388" i="11"/>
  <c r="R389" i="11"/>
  <c r="R369" i="11"/>
  <c r="BE365" i="11"/>
  <c r="BE380" i="11"/>
  <c r="BE383" i="11"/>
  <c r="BE379" i="11"/>
  <c r="BE372" i="11"/>
  <c r="BE359" i="11"/>
  <c r="BE371" i="11"/>
  <c r="BE369" i="11"/>
  <c r="BE374" i="11"/>
  <c r="BE362" i="11"/>
  <c r="BE370" i="11"/>
  <c r="BE377" i="11"/>
  <c r="BE363" i="11"/>
  <c r="BE360" i="11"/>
  <c r="BE382" i="11"/>
  <c r="BE361" i="11"/>
  <c r="BE381" i="11"/>
  <c r="DF385" i="11"/>
  <c r="BE376" i="11"/>
  <c r="BE366" i="11"/>
  <c r="BE373" i="11"/>
  <c r="BE367" i="11"/>
  <c r="BE384" i="11"/>
  <c r="BE375" i="11"/>
  <c r="BE368" i="11"/>
  <c r="BE378" i="11"/>
  <c r="BE364" i="11"/>
  <c r="BP373" i="11"/>
  <c r="BP368" i="11"/>
  <c r="BP367" i="11"/>
  <c r="BP365" i="11"/>
  <c r="BP360" i="11"/>
  <c r="BP359" i="11"/>
  <c r="BP369" i="11"/>
  <c r="DF374" i="11"/>
  <c r="BP370" i="11"/>
  <c r="BP361" i="11"/>
  <c r="BP371" i="11"/>
  <c r="BP366" i="11"/>
  <c r="BP364" i="11"/>
  <c r="BP372" i="11"/>
  <c r="BP363" i="11"/>
  <c r="BP362" i="11"/>
  <c r="AR390" i="11"/>
  <c r="AR381" i="11"/>
  <c r="AR367" i="11"/>
  <c r="AR395" i="11"/>
  <c r="AR373" i="11"/>
  <c r="AR392" i="11"/>
  <c r="AR377" i="11"/>
  <c r="AR369" i="11"/>
  <c r="AR368" i="11"/>
  <c r="AR379" i="11"/>
  <c r="AR359" i="11"/>
  <c r="AR394" i="11"/>
  <c r="AR391" i="11"/>
  <c r="AR384" i="11"/>
  <c r="AR363" i="11"/>
  <c r="AR366" i="11"/>
  <c r="AR360" i="11"/>
  <c r="AR389" i="11"/>
  <c r="AR385" i="11"/>
  <c r="AR386" i="11"/>
  <c r="AR397" i="11"/>
  <c r="AR393" i="11"/>
  <c r="AR387" i="11"/>
  <c r="AR378" i="11"/>
  <c r="AR374" i="11"/>
  <c r="AR364" i="11"/>
  <c r="AR382" i="11"/>
  <c r="AR362" i="11"/>
  <c r="AR396" i="11"/>
  <c r="AR383" i="11"/>
  <c r="AR372" i="11"/>
  <c r="AR375" i="11"/>
  <c r="DF398" i="11"/>
  <c r="AR380" i="11"/>
  <c r="AR370" i="11"/>
  <c r="AR388" i="11"/>
  <c r="AR376" i="11"/>
  <c r="AR361" i="11"/>
  <c r="AR365" i="11"/>
  <c r="AR371" i="11"/>
  <c r="AM373" i="11"/>
  <c r="AM395" i="11"/>
  <c r="AM389" i="11"/>
  <c r="AM385" i="11"/>
  <c r="AM391" i="11"/>
  <c r="AM386" i="11"/>
  <c r="AM371" i="11"/>
  <c r="AM369" i="11"/>
  <c r="AM367" i="11"/>
  <c r="AM375" i="11"/>
  <c r="AM396" i="11"/>
  <c r="AM390" i="11"/>
  <c r="AM378" i="11"/>
  <c r="AM370" i="11"/>
  <c r="AM377" i="11"/>
  <c r="AM366" i="11"/>
  <c r="AM361" i="11"/>
  <c r="AM368" i="11"/>
  <c r="AM394" i="11"/>
  <c r="AM392" i="11"/>
  <c r="AM383" i="11"/>
  <c r="AM388" i="11"/>
  <c r="AM376" i="11"/>
  <c r="AM379" i="11"/>
  <c r="AM365" i="11"/>
  <c r="AM362" i="11"/>
  <c r="AM397" i="11"/>
  <c r="AM382" i="11"/>
  <c r="AM364" i="11"/>
  <c r="AM360" i="11"/>
  <c r="AM393" i="11"/>
  <c r="AM380" i="11"/>
  <c r="AM363" i="11"/>
  <c r="AM359" i="11"/>
  <c r="AM387" i="11"/>
  <c r="AM374" i="11"/>
  <c r="AM372" i="11"/>
  <c r="AM398" i="11"/>
  <c r="AM384" i="11"/>
  <c r="AM381" i="11"/>
  <c r="BY360" i="11"/>
  <c r="BY361" i="11"/>
  <c r="BY363" i="11"/>
  <c r="BY362" i="11"/>
  <c r="DF365" i="11"/>
  <c r="BY359" i="11"/>
  <c r="BY364" i="11"/>
  <c r="V387" i="11"/>
  <c r="V363" i="11"/>
  <c r="V371" i="11"/>
  <c r="V386" i="11"/>
  <c r="V372" i="11"/>
  <c r="V370" i="11"/>
  <c r="V390" i="11"/>
  <c r="V375" i="11"/>
  <c r="V374" i="11"/>
  <c r="V385" i="11"/>
  <c r="V378" i="11"/>
  <c r="V373" i="11"/>
  <c r="V367" i="11"/>
  <c r="V365" i="11"/>
  <c r="V368" i="11"/>
  <c r="V381" i="11"/>
  <c r="V395" i="11"/>
  <c r="V392" i="11"/>
  <c r="V376" i="11"/>
  <c r="V391" i="11"/>
  <c r="V380" i="11"/>
  <c r="V379" i="11"/>
  <c r="V361" i="11"/>
  <c r="V384" i="11"/>
  <c r="V398" i="11"/>
  <c r="V397" i="11"/>
  <c r="V364" i="11"/>
  <c r="V377" i="11"/>
  <c r="V389" i="11"/>
  <c r="V383" i="11"/>
  <c r="V382" i="11"/>
  <c r="V393" i="11"/>
  <c r="V360" i="11"/>
  <c r="V394" i="11"/>
  <c r="V359" i="11"/>
  <c r="V388" i="11"/>
  <c r="V366" i="11"/>
  <c r="V362" i="11"/>
  <c r="V369" i="11"/>
  <c r="V396" i="11"/>
  <c r="Q369" i="11"/>
  <c r="Q373" i="11"/>
  <c r="Q364" i="11"/>
  <c r="Q367" i="11"/>
  <c r="Q360" i="11"/>
  <c r="Q366" i="11"/>
  <c r="Q359" i="11"/>
  <c r="Q382" i="11"/>
  <c r="Q396" i="11"/>
  <c r="Q374" i="11"/>
  <c r="Q385" i="11"/>
  <c r="Q376" i="11"/>
  <c r="Q365" i="11"/>
  <c r="Q389" i="11"/>
  <c r="Q380" i="11"/>
  <c r="Q398" i="11"/>
  <c r="Q394" i="11"/>
  <c r="Q370" i="11"/>
  <c r="Q387" i="11"/>
  <c r="Q391" i="11"/>
  <c r="Q386" i="11"/>
  <c r="Q377" i="11"/>
  <c r="Q395" i="11"/>
  <c r="Q371" i="11"/>
  <c r="Q381" i="11"/>
  <c r="Q362" i="11"/>
  <c r="Q361" i="11"/>
  <c r="Q363" i="11"/>
  <c r="Q368" i="11"/>
  <c r="Q383" i="11"/>
  <c r="Q379" i="11"/>
  <c r="Q388" i="11"/>
  <c r="Q384" i="11"/>
  <c r="Q375" i="11"/>
  <c r="Q393" i="11"/>
  <c r="Q372" i="11"/>
  <c r="Q397" i="11"/>
  <c r="Q392" i="11"/>
  <c r="Q378" i="11"/>
  <c r="Q390" i="11"/>
  <c r="AN381" i="11"/>
  <c r="AN379" i="11"/>
  <c r="AN390" i="11"/>
  <c r="AN386" i="11"/>
  <c r="AN392" i="11"/>
  <c r="AN395" i="11"/>
  <c r="AN369" i="11"/>
  <c r="AN367" i="11"/>
  <c r="AN385" i="11"/>
  <c r="AN359" i="11"/>
  <c r="AN377" i="11"/>
  <c r="AN371" i="11"/>
  <c r="AN397" i="11"/>
  <c r="AN393" i="11"/>
  <c r="AN388" i="11"/>
  <c r="AN378" i="11"/>
  <c r="AN366" i="11"/>
  <c r="AN374" i="11"/>
  <c r="AN389" i="11"/>
  <c r="AN365" i="11"/>
  <c r="AN396" i="11"/>
  <c r="AN391" i="11"/>
  <c r="AN384" i="11"/>
  <c r="AN376" i="11"/>
  <c r="AN362" i="11"/>
  <c r="AN364" i="11"/>
  <c r="AN373" i="11"/>
  <c r="AN394" i="11"/>
  <c r="AN387" i="11"/>
  <c r="AN383" i="11"/>
  <c r="AN363" i="11"/>
  <c r="AN370" i="11"/>
  <c r="AN361" i="11"/>
  <c r="AN375" i="11"/>
  <c r="AN398" i="11"/>
  <c r="AN382" i="11"/>
  <c r="AN380" i="11"/>
  <c r="AN372" i="11"/>
  <c r="AN360" i="11"/>
  <c r="AN368" i="11"/>
  <c r="AI395" i="11"/>
  <c r="AI391" i="11"/>
  <c r="AI385" i="11"/>
  <c r="AI367" i="11"/>
  <c r="AI375" i="11"/>
  <c r="AI371" i="11"/>
  <c r="AI389" i="11"/>
  <c r="AI386" i="11"/>
  <c r="AI368" i="11"/>
  <c r="AI369" i="11"/>
  <c r="AI393" i="11"/>
  <c r="AI382" i="11"/>
  <c r="AI376" i="11"/>
  <c r="AI361" i="11"/>
  <c r="AI398" i="11"/>
  <c r="AI394" i="11"/>
  <c r="AI384" i="11"/>
  <c r="AI378" i="11"/>
  <c r="AI379" i="11"/>
  <c r="AI373" i="11"/>
  <c r="AI366" i="11"/>
  <c r="AI359" i="11"/>
  <c r="AI397" i="11"/>
  <c r="AI388" i="11"/>
  <c r="AI377" i="11"/>
  <c r="AI364" i="11"/>
  <c r="AI360" i="11"/>
  <c r="AI387" i="11"/>
  <c r="AI380" i="11"/>
  <c r="AI362" i="11"/>
  <c r="AI396" i="11"/>
  <c r="AI390" i="11"/>
  <c r="AI383" i="11"/>
  <c r="AI374" i="11"/>
  <c r="AI381" i="11"/>
  <c r="AI372" i="11"/>
  <c r="AI365" i="11"/>
  <c r="AI392" i="11"/>
  <c r="AI370" i="11"/>
  <c r="AI363" i="11"/>
  <c r="BQ360" i="11"/>
  <c r="BQ371" i="11"/>
  <c r="BQ359" i="11"/>
  <c r="BQ362" i="11"/>
  <c r="BQ363" i="11"/>
  <c r="BQ372" i="11"/>
  <c r="BQ367" i="11"/>
  <c r="BQ369" i="11"/>
  <c r="BQ370" i="11"/>
  <c r="DF373" i="11"/>
  <c r="BQ364" i="11"/>
  <c r="BQ361" i="11"/>
  <c r="BQ368" i="11"/>
  <c r="BQ366" i="11"/>
  <c r="BQ365" i="11"/>
  <c r="AJ385" i="11"/>
  <c r="AJ395" i="11"/>
  <c r="AJ379" i="11"/>
  <c r="AJ381" i="11"/>
  <c r="AJ377" i="11"/>
  <c r="AJ373" i="11"/>
  <c r="AJ369" i="11"/>
  <c r="AJ389" i="11"/>
  <c r="AJ375" i="11"/>
  <c r="AJ368" i="11"/>
  <c r="AJ365" i="11"/>
  <c r="AJ359" i="11"/>
  <c r="AJ361" i="11"/>
  <c r="AJ392" i="11"/>
  <c r="AJ398" i="11"/>
  <c r="AJ391" i="11"/>
  <c r="AJ376" i="11"/>
  <c r="AJ372" i="11"/>
  <c r="AJ366" i="11"/>
  <c r="AJ390" i="11"/>
  <c r="AJ386" i="11"/>
  <c r="AJ367" i="11"/>
  <c r="AJ397" i="11"/>
  <c r="AJ393" i="11"/>
  <c r="AJ383" i="11"/>
  <c r="AJ380" i="11"/>
  <c r="AJ374" i="11"/>
  <c r="AJ364" i="11"/>
  <c r="AJ382" i="11"/>
  <c r="AJ396" i="11"/>
  <c r="AJ384" i="11"/>
  <c r="AJ370" i="11"/>
  <c r="AJ360" i="11"/>
  <c r="AJ394" i="11"/>
  <c r="AJ362" i="11"/>
  <c r="AJ387" i="11"/>
  <c r="AJ388" i="11"/>
  <c r="AJ378" i="11"/>
  <c r="AJ363" i="11"/>
  <c r="AJ371" i="11"/>
  <c r="DF367" i="11"/>
  <c r="BW363" i="11"/>
  <c r="BW365" i="11"/>
  <c r="BW366" i="11"/>
  <c r="BW361" i="11"/>
  <c r="BW359" i="11"/>
  <c r="BW364" i="11"/>
  <c r="BW362" i="11"/>
  <c r="BW360" i="11"/>
  <c r="U389" i="11"/>
  <c r="U383" i="11"/>
  <c r="U376" i="11"/>
  <c r="U397" i="11"/>
  <c r="U360" i="11"/>
  <c r="U370" i="11"/>
  <c r="U363" i="11"/>
  <c r="U379" i="11"/>
  <c r="U373" i="11"/>
  <c r="U366" i="11"/>
  <c r="U392" i="11"/>
  <c r="U362" i="11"/>
  <c r="U380" i="11"/>
  <c r="U391" i="11"/>
  <c r="U359" i="11"/>
  <c r="U367" i="11"/>
  <c r="U381" i="11"/>
  <c r="U386" i="11"/>
  <c r="U372" i="11"/>
  <c r="U398" i="11"/>
  <c r="U388" i="11"/>
  <c r="U368" i="11"/>
  <c r="U395" i="11"/>
  <c r="U365" i="11"/>
  <c r="U382" i="11"/>
  <c r="U374" i="11"/>
  <c r="U361" i="11"/>
  <c r="U371" i="11"/>
  <c r="U387" i="11"/>
  <c r="U394" i="11"/>
  <c r="U390" i="11"/>
  <c r="U377" i="11"/>
  <c r="U375" i="11"/>
  <c r="U378" i="11"/>
  <c r="U385" i="11"/>
  <c r="U396" i="11"/>
  <c r="U384" i="11"/>
  <c r="U369" i="11"/>
  <c r="U364" i="11"/>
  <c r="U393" i="11"/>
  <c r="DF396" i="11"/>
  <c r="AT370" i="11"/>
  <c r="AT393" i="11"/>
  <c r="AT363" i="11"/>
  <c r="AT387" i="11"/>
  <c r="AT368" i="11"/>
  <c r="AT364" i="11"/>
  <c r="AT381" i="11"/>
  <c r="AT395" i="11"/>
  <c r="AT386" i="11"/>
  <c r="AT359" i="11"/>
  <c r="AT376" i="11"/>
  <c r="AT371" i="11"/>
  <c r="AT366" i="11"/>
  <c r="AT378" i="11"/>
  <c r="AT373" i="11"/>
  <c r="AT372" i="11"/>
  <c r="AT369" i="11"/>
  <c r="AT394" i="11"/>
  <c r="AT390" i="11"/>
  <c r="AT380" i="11"/>
  <c r="AT389" i="11"/>
  <c r="AT391" i="11"/>
  <c r="AT374" i="11"/>
  <c r="AT382" i="11"/>
  <c r="AT361" i="11"/>
  <c r="AT377" i="11"/>
  <c r="AT383" i="11"/>
  <c r="AT375" i="11"/>
  <c r="AT365" i="11"/>
  <c r="AT362" i="11"/>
  <c r="AT384" i="11"/>
  <c r="AT360" i="11"/>
  <c r="AT392" i="11"/>
  <c r="AT385" i="11"/>
  <c r="AT388" i="11"/>
  <c r="AT379" i="11"/>
  <c r="AT367" i="11"/>
  <c r="T377" i="11"/>
  <c r="T373" i="11"/>
  <c r="T360" i="11"/>
  <c r="T395" i="11"/>
  <c r="T385" i="11"/>
  <c r="T379" i="11"/>
  <c r="T375" i="11"/>
  <c r="T359" i="11"/>
  <c r="T361" i="11"/>
  <c r="T371" i="11"/>
  <c r="T365" i="11"/>
  <c r="T389" i="11"/>
  <c r="T390" i="11"/>
  <c r="T381" i="11"/>
  <c r="T368" i="11"/>
  <c r="T367" i="11"/>
  <c r="T396" i="11"/>
  <c r="T393" i="11"/>
  <c r="T386" i="11"/>
  <c r="T378" i="11"/>
  <c r="T374" i="11"/>
  <c r="T391" i="11"/>
  <c r="T369" i="11"/>
  <c r="T392" i="11"/>
  <c r="T388" i="11"/>
  <c r="T376" i="11"/>
  <c r="T372" i="11"/>
  <c r="T366" i="11"/>
  <c r="T398" i="11"/>
  <c r="T394" i="11"/>
  <c r="T380" i="11"/>
  <c r="T362" i="11"/>
  <c r="T387" i="11"/>
  <c r="T364" i="11"/>
  <c r="T384" i="11"/>
  <c r="T397" i="11"/>
  <c r="T382" i="11"/>
  <c r="T363" i="11"/>
  <c r="T383" i="11"/>
  <c r="T370" i="11"/>
  <c r="AB386" i="11"/>
  <c r="AB369" i="11"/>
  <c r="AB371" i="11"/>
  <c r="AB359" i="11"/>
  <c r="AB395" i="11"/>
  <c r="AB379" i="11"/>
  <c r="AB385" i="11"/>
  <c r="AB389" i="11"/>
  <c r="AB381" i="11"/>
  <c r="AB373" i="11"/>
  <c r="AB368" i="11"/>
  <c r="AB398" i="11"/>
  <c r="AB382" i="11"/>
  <c r="AB376" i="11"/>
  <c r="AB363" i="11"/>
  <c r="AB372" i="11"/>
  <c r="AB364" i="11"/>
  <c r="AB390" i="11"/>
  <c r="AB377" i="11"/>
  <c r="AB367" i="11"/>
  <c r="AB396" i="11"/>
  <c r="AB393" i="11"/>
  <c r="AB387" i="11"/>
  <c r="AB380" i="11"/>
  <c r="AB366" i="11"/>
  <c r="AB370" i="11"/>
  <c r="AB397" i="11"/>
  <c r="AB391" i="11"/>
  <c r="AB374" i="11"/>
  <c r="AB392" i="11"/>
  <c r="AB383" i="11"/>
  <c r="AB362" i="11"/>
  <c r="AB394" i="11"/>
  <c r="AB384" i="11"/>
  <c r="AB360" i="11"/>
  <c r="AB388" i="11"/>
  <c r="AB378" i="11"/>
  <c r="AB361" i="11"/>
  <c r="AB365" i="11"/>
  <c r="AB375" i="11"/>
  <c r="W386" i="11"/>
  <c r="W395" i="11"/>
  <c r="W389" i="11"/>
  <c r="W391" i="11"/>
  <c r="W373" i="11"/>
  <c r="W385" i="11"/>
  <c r="W375" i="11"/>
  <c r="W367" i="11"/>
  <c r="W368" i="11"/>
  <c r="W369" i="11"/>
  <c r="W396" i="11"/>
  <c r="W390" i="11"/>
  <c r="W382" i="11"/>
  <c r="W374" i="11"/>
  <c r="W379" i="11"/>
  <c r="W366" i="11"/>
  <c r="W360" i="11"/>
  <c r="W398" i="11"/>
  <c r="W392" i="11"/>
  <c r="W384" i="11"/>
  <c r="W394" i="11"/>
  <c r="W376" i="11"/>
  <c r="W363" i="11"/>
  <c r="W377" i="11"/>
  <c r="W361" i="11"/>
  <c r="W364" i="11"/>
  <c r="W387" i="11"/>
  <c r="W380" i="11"/>
  <c r="W372" i="11"/>
  <c r="W370" i="11"/>
  <c r="W362" i="11"/>
  <c r="W371" i="11"/>
  <c r="W388" i="11"/>
  <c r="W397" i="11"/>
  <c r="W383" i="11"/>
  <c r="W381" i="11"/>
  <c r="W365" i="11"/>
  <c r="W393" i="11"/>
  <c r="W378" i="11"/>
  <c r="W359" i="11"/>
  <c r="DF360" i="11"/>
  <c r="CD359" i="11"/>
  <c r="X381" i="11"/>
  <c r="X395" i="11"/>
  <c r="X390" i="11"/>
  <c r="X367" i="11"/>
  <c r="X379" i="11"/>
  <c r="X377" i="11"/>
  <c r="X369" i="11"/>
  <c r="X373" i="11"/>
  <c r="X385" i="11"/>
  <c r="X365" i="11"/>
  <c r="X368" i="11"/>
  <c r="X389" i="11"/>
  <c r="X375" i="11"/>
  <c r="X396" i="11"/>
  <c r="X393" i="11"/>
  <c r="X382" i="11"/>
  <c r="X378" i="11"/>
  <c r="X392" i="11"/>
  <c r="X391" i="11"/>
  <c r="X384" i="11"/>
  <c r="X388" i="11"/>
  <c r="X366" i="11"/>
  <c r="X360" i="11"/>
  <c r="X359" i="11"/>
  <c r="X371" i="11"/>
  <c r="X394" i="11"/>
  <c r="X387" i="11"/>
  <c r="X383" i="11"/>
  <c r="X397" i="11"/>
  <c r="X398" i="11"/>
  <c r="X386" i="11"/>
  <c r="X380" i="11"/>
  <c r="X363" i="11"/>
  <c r="X370" i="11"/>
  <c r="X361" i="11"/>
  <c r="X372" i="11"/>
  <c r="X362" i="11"/>
  <c r="X374" i="11"/>
  <c r="X376" i="11"/>
  <c r="X364" i="11"/>
  <c r="S368" i="11"/>
  <c r="S385" i="11"/>
  <c r="S375" i="11"/>
  <c r="S389" i="11"/>
  <c r="S391" i="11"/>
  <c r="S369" i="11"/>
  <c r="S367" i="11"/>
  <c r="S371" i="11"/>
  <c r="S387" i="11"/>
  <c r="S382" i="11"/>
  <c r="S376" i="11"/>
  <c r="S396" i="11"/>
  <c r="S390" i="11"/>
  <c r="S384" i="11"/>
  <c r="S378" i="11"/>
  <c r="S381" i="11"/>
  <c r="S373" i="11"/>
  <c r="S366" i="11"/>
  <c r="S360" i="11"/>
  <c r="S395" i="11"/>
  <c r="S383" i="11"/>
  <c r="S379" i="11"/>
  <c r="S364" i="11"/>
  <c r="S365" i="11"/>
  <c r="S393" i="11"/>
  <c r="S380" i="11"/>
  <c r="S362" i="11"/>
  <c r="S398" i="11"/>
  <c r="S394" i="11"/>
  <c r="S392" i="11"/>
  <c r="S388" i="11"/>
  <c r="S374" i="11"/>
  <c r="S377" i="11"/>
  <c r="S372" i="11"/>
  <c r="S359" i="11"/>
  <c r="S397" i="11"/>
  <c r="S386" i="11"/>
  <c r="S370" i="11"/>
  <c r="S363" i="11"/>
  <c r="S361" i="11"/>
  <c r="AK391" i="11"/>
  <c r="AK370" i="11"/>
  <c r="AK384" i="11"/>
  <c r="AK396" i="11"/>
  <c r="AK366" i="11"/>
  <c r="AK364" i="11"/>
  <c r="AK398" i="11"/>
  <c r="AK383" i="11"/>
  <c r="AK375" i="11"/>
  <c r="AK389" i="11"/>
  <c r="AK374" i="11"/>
  <c r="AK381" i="11"/>
  <c r="AK382" i="11"/>
  <c r="AK390" i="11"/>
  <c r="AK367" i="11"/>
  <c r="AK377" i="11"/>
  <c r="AK386" i="11"/>
  <c r="AK359" i="11"/>
  <c r="AK363" i="11"/>
  <c r="AK388" i="11"/>
  <c r="AK361" i="11"/>
  <c r="AK395" i="11"/>
  <c r="AK380" i="11"/>
  <c r="AK379" i="11"/>
  <c r="AK365" i="11"/>
  <c r="AK387" i="11"/>
  <c r="AK378" i="11"/>
  <c r="AK373" i="11"/>
  <c r="AK392" i="11"/>
  <c r="AK360" i="11"/>
  <c r="AK362" i="11"/>
  <c r="AK371" i="11"/>
  <c r="AK376" i="11"/>
  <c r="AK385" i="11"/>
  <c r="AK369" i="11"/>
  <c r="AK397" i="11"/>
  <c r="AK393" i="11"/>
  <c r="AK372" i="11"/>
  <c r="AK368" i="11"/>
  <c r="AK394" i="11"/>
  <c r="BV362" i="11"/>
  <c r="BV365" i="11"/>
  <c r="BV359" i="11"/>
  <c r="BV361" i="11"/>
  <c r="BV363" i="11"/>
  <c r="BV364" i="11"/>
  <c r="BV366" i="11"/>
  <c r="BV360" i="11"/>
  <c r="DF368" i="11"/>
  <c r="BV367" i="11"/>
  <c r="BU365" i="11"/>
  <c r="DF369" i="11"/>
  <c r="BU368" i="11"/>
  <c r="BU361" i="11"/>
  <c r="BU359" i="11"/>
  <c r="BU360" i="11"/>
  <c r="BU363" i="11"/>
  <c r="BU367" i="11"/>
  <c r="BU362" i="11"/>
  <c r="BU366" i="11"/>
  <c r="BU364" i="11"/>
  <c r="O5" i="8" l="1"/>
  <c r="S5" i="8" s="1"/>
  <c r="P9" i="8"/>
  <c r="O14" i="8"/>
  <c r="S14" i="8" s="1"/>
  <c r="M88" i="8"/>
  <c r="N88" i="8"/>
  <c r="M72" i="8"/>
  <c r="K84" i="8"/>
  <c r="M76" i="8"/>
  <c r="N65" i="8"/>
  <c r="K77" i="8"/>
  <c r="N73" i="8"/>
  <c r="K85" i="8"/>
  <c r="M75" i="8"/>
  <c r="K87" i="8"/>
  <c r="N74" i="8"/>
  <c r="K86" i="8"/>
  <c r="N66" i="8"/>
  <c r="K78" i="8"/>
  <c r="M70" i="8"/>
  <c r="K82" i="8"/>
  <c r="N67" i="8"/>
  <c r="K79" i="8"/>
  <c r="M69" i="8"/>
  <c r="K81" i="8"/>
  <c r="N71" i="8"/>
  <c r="K83" i="8"/>
  <c r="N68" i="8"/>
  <c r="K80" i="8"/>
  <c r="BO65" i="1"/>
  <c r="BO66" i="1"/>
  <c r="BK65" i="1"/>
  <c r="BK66" i="1"/>
  <c r="BN65" i="1"/>
  <c r="BN66" i="1"/>
  <c r="BB64" i="1"/>
  <c r="BB65" i="1"/>
  <c r="BC64" i="1"/>
  <c r="BC66" i="1" s="1"/>
  <c r="BC65" i="1"/>
  <c r="BE65" i="1"/>
  <c r="BE64" i="1"/>
  <c r="BE66" i="1" s="1"/>
  <c r="BC60" i="1"/>
  <c r="AX25" i="1"/>
  <c r="AG43" i="12"/>
  <c r="AM43" i="12" s="1"/>
  <c r="AX23" i="1"/>
  <c r="AL61" i="1"/>
  <c r="AG50" i="12"/>
  <c r="AM50" i="12" s="1"/>
  <c r="AX30" i="1"/>
  <c r="AG44" i="12"/>
  <c r="AM44" i="12" s="1"/>
  <c r="AX24" i="1"/>
  <c r="AG40" i="12"/>
  <c r="AM40" i="12" s="1"/>
  <c r="J37" i="12" s="1"/>
  <c r="AX20" i="1"/>
  <c r="AG42" i="12"/>
  <c r="AM42" i="12" s="1"/>
  <c r="AX22" i="1"/>
  <c r="AG47" i="12"/>
  <c r="AM47" i="12" s="1"/>
  <c r="AX27" i="1"/>
  <c r="AG41" i="12"/>
  <c r="AM41" i="12" s="1"/>
  <c r="J38" i="12" s="1"/>
  <c r="AX21" i="1"/>
  <c r="AG49" i="12"/>
  <c r="AM49" i="12" s="1"/>
  <c r="AX29" i="1"/>
  <c r="AG48" i="12"/>
  <c r="AM48" i="12" s="1"/>
  <c r="AX28" i="1"/>
  <c r="AS56" i="1"/>
  <c r="AG62" i="1"/>
  <c r="AL62" i="1" s="1"/>
  <c r="AA212" i="1" s="1"/>
  <c r="AE212" i="1" s="1"/>
  <c r="C39" i="12" s="1"/>
  <c r="AN57" i="1"/>
  <c r="AO57" i="1"/>
  <c r="AU31" i="1"/>
  <c r="AG46" i="12"/>
  <c r="AM46" i="12" s="1"/>
  <c r="J43" i="12" s="1"/>
  <c r="BO60" i="1"/>
  <c r="AL36" i="1"/>
  <c r="AG37" i="1"/>
  <c r="AL37" i="1" s="1"/>
  <c r="BO61" i="1"/>
  <c r="BN61" i="1"/>
  <c r="BN60" i="1"/>
  <c r="BP58" i="1"/>
  <c r="BQ58" i="1" s="1"/>
  <c r="BE61" i="1"/>
  <c r="BG57" i="1"/>
  <c r="BH57" i="1" s="1"/>
  <c r="BE60" i="1"/>
  <c r="BG59" i="1"/>
  <c r="BD213" i="1" s="1"/>
  <c r="BK213" i="1" s="1"/>
  <c r="BG58" i="1"/>
  <c r="BH58" i="1" s="1"/>
  <c r="BB61" i="1"/>
  <c r="BB60" i="1"/>
  <c r="BK60" i="1"/>
  <c r="BK61" i="1"/>
  <c r="BP59" i="1"/>
  <c r="AJ110" i="1"/>
  <c r="AJ44" i="12" s="1"/>
  <c r="AP44" i="12" s="1"/>
  <c r="BE114" i="1"/>
  <c r="AI111" i="1"/>
  <c r="AL111" i="1" s="1"/>
  <c r="BD115" i="1"/>
  <c r="BD159" i="1"/>
  <c r="BB158" i="1"/>
  <c r="BE158" i="1" s="1"/>
  <c r="AM158" i="1"/>
  <c r="BE157" i="1"/>
  <c r="BC115" i="1"/>
  <c r="BB119" i="1"/>
  <c r="F94" i="1"/>
  <c r="CQ26" i="1"/>
  <c r="CR26" i="1" s="1"/>
  <c r="F52" i="1"/>
  <c r="F117" i="1"/>
  <c r="F27" i="1"/>
  <c r="F71" i="1" s="1"/>
  <c r="N69" i="8"/>
  <c r="N58" i="8"/>
  <c r="N70" i="8"/>
  <c r="N18" i="8"/>
  <c r="N36" i="8"/>
  <c r="N61" i="8"/>
  <c r="N72" i="8"/>
  <c r="M66" i="8"/>
  <c r="N46" i="8"/>
  <c r="N42" i="8"/>
  <c r="M42" i="8"/>
  <c r="N60" i="8"/>
  <c r="M30" i="8"/>
  <c r="N54" i="8"/>
  <c r="N24" i="8"/>
  <c r="M34" i="8"/>
  <c r="M52" i="8"/>
  <c r="M51" i="8"/>
  <c r="M18" i="8"/>
  <c r="M22" i="8"/>
  <c r="N22" i="8"/>
  <c r="N30" i="8"/>
  <c r="N34" i="8"/>
  <c r="M36" i="8"/>
  <c r="M48" i="8"/>
  <c r="M54" i="8"/>
  <c r="M58" i="8"/>
  <c r="M46" i="8"/>
  <c r="M24" i="8"/>
  <c r="M60" i="8"/>
  <c r="N48" i="8"/>
  <c r="M55" i="8"/>
  <c r="M57" i="8"/>
  <c r="N76" i="8"/>
  <c r="N64" i="8"/>
  <c r="M33" i="8"/>
  <c r="N28" i="8"/>
  <c r="M21" i="8"/>
  <c r="M31" i="8"/>
  <c r="N43" i="8"/>
  <c r="N40" i="8"/>
  <c r="M67" i="8"/>
  <c r="N27" i="8"/>
  <c r="M19" i="8"/>
  <c r="N50" i="8"/>
  <c r="N26" i="8"/>
  <c r="N75" i="8"/>
  <c r="M62" i="8"/>
  <c r="N31" i="8"/>
  <c r="M39" i="8"/>
  <c r="M44" i="8"/>
  <c r="M68" i="8"/>
  <c r="M32" i="8"/>
  <c r="N56" i="8"/>
  <c r="N38" i="8"/>
  <c r="M74" i="8"/>
  <c r="M73" i="8"/>
  <c r="M49" i="8"/>
  <c r="N55" i="8"/>
  <c r="M20" i="8"/>
  <c r="M50" i="8"/>
  <c r="M64" i="8"/>
  <c r="M38" i="8"/>
  <c r="M26" i="8"/>
  <c r="N33" i="8"/>
  <c r="N62" i="8"/>
  <c r="N52" i="8"/>
  <c r="N21" i="8"/>
  <c r="N45" i="8"/>
  <c r="N51" i="8"/>
  <c r="N32" i="8"/>
  <c r="M27" i="8"/>
  <c r="M56" i="8"/>
  <c r="N57" i="8"/>
  <c r="N39" i="8"/>
  <c r="N44" i="8"/>
  <c r="M45" i="8"/>
  <c r="M43" i="8"/>
  <c r="M28" i="8"/>
  <c r="M63" i="8"/>
  <c r="N19" i="8"/>
  <c r="N20" i="8"/>
  <c r="N63" i="8"/>
  <c r="M40" i="8"/>
  <c r="N29" i="8"/>
  <c r="N35" i="8"/>
  <c r="M47" i="8"/>
  <c r="M23" i="8"/>
  <c r="M53" i="8"/>
  <c r="O53" i="8" s="1"/>
  <c r="M41" i="8"/>
  <c r="O41" i="8" s="1"/>
  <c r="N17" i="8"/>
  <c r="N53" i="8"/>
  <c r="M59" i="8"/>
  <c r="M29" i="8"/>
  <c r="O29" i="8" s="1"/>
  <c r="M25" i="8"/>
  <c r="N23" i="8"/>
  <c r="N41" i="8"/>
  <c r="N49" i="8"/>
  <c r="M61" i="8"/>
  <c r="N59" i="8"/>
  <c r="M65" i="8"/>
  <c r="O65" i="8" s="1"/>
  <c r="M37" i="8"/>
  <c r="M71" i="8"/>
  <c r="N25" i="8"/>
  <c r="N47" i="8"/>
  <c r="N37" i="8"/>
  <c r="M35" i="8"/>
  <c r="M17" i="8"/>
  <c r="O17" i="8" s="1"/>
  <c r="DG372" i="11"/>
  <c r="DG378" i="11"/>
  <c r="DG377" i="11"/>
  <c r="DG384" i="11"/>
  <c r="DG366" i="11"/>
  <c r="DG394" i="11"/>
  <c r="DG364" i="11"/>
  <c r="DG397" i="11"/>
  <c r="DG371" i="11"/>
  <c r="DG391" i="11"/>
  <c r="DG390" i="11"/>
  <c r="DG392" i="11"/>
  <c r="DG396" i="11"/>
  <c r="DG398" i="11"/>
  <c r="DG363" i="11"/>
  <c r="DG393" i="11"/>
  <c r="DG380" i="11"/>
  <c r="DG368" i="11"/>
  <c r="DG386" i="11"/>
  <c r="DG389" i="11"/>
  <c r="DG361" i="11"/>
  <c r="DG359" i="11"/>
  <c r="DG362" i="11"/>
  <c r="DG374" i="11"/>
  <c r="DG370" i="11"/>
  <c r="DG360" i="11"/>
  <c r="DG388" i="11"/>
  <c r="DG375" i="11"/>
  <c r="DG385" i="11"/>
  <c r="DG373" i="11"/>
  <c r="DG381" i="11"/>
  <c r="DG383" i="11"/>
  <c r="DG376" i="11"/>
  <c r="DG365" i="11"/>
  <c r="DG382" i="11"/>
  <c r="DG379" i="11"/>
  <c r="DG387" i="11"/>
  <c r="DG369" i="11"/>
  <c r="DG395" i="11"/>
  <c r="DG367" i="11"/>
  <c r="O88" i="8" l="1"/>
  <c r="S88" i="8" s="1"/>
  <c r="O75" i="8"/>
  <c r="S75" i="8" s="1"/>
  <c r="O74" i="8"/>
  <c r="S74" i="8" s="1"/>
  <c r="O76" i="8"/>
  <c r="S76" i="8" s="1"/>
  <c r="O68" i="8"/>
  <c r="S68" i="8" s="1"/>
  <c r="O67" i="8"/>
  <c r="S67" i="8" s="1"/>
  <c r="O54" i="8"/>
  <c r="S54" i="8" s="1"/>
  <c r="O56" i="8"/>
  <c r="S56" i="8" s="1"/>
  <c r="O63" i="8"/>
  <c r="S63" i="8" s="1"/>
  <c r="O62" i="8"/>
  <c r="S62" i="8" s="1"/>
  <c r="O55" i="8"/>
  <c r="S55" i="8" s="1"/>
  <c r="O66" i="8"/>
  <c r="S66" i="8" s="1"/>
  <c r="O64" i="8"/>
  <c r="S64" i="8" s="1"/>
  <c r="O44" i="8"/>
  <c r="S44" i="8" s="1"/>
  <c r="O51" i="8"/>
  <c r="S51" i="8" s="1"/>
  <c r="O50" i="8"/>
  <c r="S50" i="8" s="1"/>
  <c r="O52" i="8"/>
  <c r="S52" i="8" s="1"/>
  <c r="O43" i="8"/>
  <c r="S43" i="8" s="1"/>
  <c r="O30" i="8"/>
  <c r="S30" i="8" s="1"/>
  <c r="O40" i="8"/>
  <c r="S40" i="8" s="1"/>
  <c r="O32" i="8"/>
  <c r="S32" i="8" s="1"/>
  <c r="O42" i="8"/>
  <c r="S42" i="8" s="1"/>
  <c r="O39" i="8"/>
  <c r="S39" i="8" s="1"/>
  <c r="O38" i="8"/>
  <c r="S38" i="8" s="1"/>
  <c r="O31" i="8"/>
  <c r="S31" i="8" s="1"/>
  <c r="O20" i="8"/>
  <c r="S20" i="8" s="1"/>
  <c r="O19" i="8"/>
  <c r="S19" i="8" s="1"/>
  <c r="O18" i="8"/>
  <c r="S18" i="8" s="1"/>
  <c r="O27" i="8"/>
  <c r="S27" i="8" s="1"/>
  <c r="O26" i="8"/>
  <c r="S26" i="8" s="1"/>
  <c r="O28" i="8"/>
  <c r="S28" i="8" s="1"/>
  <c r="P69" i="8"/>
  <c r="S53" i="8"/>
  <c r="P57" i="8"/>
  <c r="O57" i="8" s="1"/>
  <c r="S57" i="8" s="1"/>
  <c r="P45" i="8"/>
  <c r="O45" i="8" s="1"/>
  <c r="P33" i="8"/>
  <c r="P21" i="8"/>
  <c r="O21" i="8" s="1"/>
  <c r="O9" i="8"/>
  <c r="S9" i="8" s="1"/>
  <c r="J45" i="12"/>
  <c r="J44" i="12"/>
  <c r="S65" i="8"/>
  <c r="S41" i="8"/>
  <c r="S29" i="8"/>
  <c r="S17" i="8"/>
  <c r="M83" i="8"/>
  <c r="N83" i="8"/>
  <c r="M78" i="8"/>
  <c r="N78" i="8"/>
  <c r="M77" i="8"/>
  <c r="O77" i="8" s="1"/>
  <c r="N77" i="8"/>
  <c r="M81" i="8"/>
  <c r="N81" i="8"/>
  <c r="M86" i="8"/>
  <c r="O86" i="8" s="1"/>
  <c r="N86" i="8"/>
  <c r="M84" i="8"/>
  <c r="N84" i="8"/>
  <c r="M79" i="8"/>
  <c r="O79" i="8" s="1"/>
  <c r="N79" i="8"/>
  <c r="M87" i="8"/>
  <c r="O87" i="8" s="1"/>
  <c r="N87" i="8"/>
  <c r="M80" i="8"/>
  <c r="O80" i="8" s="1"/>
  <c r="N80" i="8"/>
  <c r="M82" i="8"/>
  <c r="N82" i="8"/>
  <c r="M85" i="8"/>
  <c r="N85" i="8"/>
  <c r="J46" i="12"/>
  <c r="J41" i="12"/>
  <c r="J47" i="12"/>
  <c r="J42" i="12"/>
  <c r="BP65" i="1"/>
  <c r="BO242" i="1" s="1"/>
  <c r="BP64" i="1"/>
  <c r="BO231" i="1" s="1"/>
  <c r="BO253" i="1" s="1"/>
  <c r="BP66" i="1"/>
  <c r="BG65" i="1"/>
  <c r="BK242" i="1" s="1"/>
  <c r="BB66" i="1"/>
  <c r="BG66" i="1" s="1"/>
  <c r="BG64" i="1"/>
  <c r="BK231" i="1" s="1"/>
  <c r="BK253" i="1" s="1"/>
  <c r="AO58" i="1"/>
  <c r="AW51" i="1" s="1"/>
  <c r="AP58" i="1"/>
  <c r="AQ58" i="1"/>
  <c r="AR58" i="1"/>
  <c r="AN58" i="1"/>
  <c r="G147" i="1"/>
  <c r="I147" i="1" s="1"/>
  <c r="AA211" i="1"/>
  <c r="AM39" i="12"/>
  <c r="AG51" i="12"/>
  <c r="BP60" i="1"/>
  <c r="BQ60" i="1" s="1"/>
  <c r="BP61" i="1"/>
  <c r="BQ61" i="1" s="1"/>
  <c r="BG61" i="1"/>
  <c r="BH61" i="1" s="1"/>
  <c r="BG60" i="1"/>
  <c r="BH60" i="1" s="1"/>
  <c r="BH59" i="1"/>
  <c r="BQ59" i="1"/>
  <c r="BG213" i="1"/>
  <c r="BO213" i="1" s="1"/>
  <c r="D39" i="12" s="1"/>
  <c r="AJ111" i="1"/>
  <c r="AJ45" i="12" s="1"/>
  <c r="AP45" i="12" s="1"/>
  <c r="BE115" i="1"/>
  <c r="AI112" i="1"/>
  <c r="AL112" i="1" s="1"/>
  <c r="BD116" i="1"/>
  <c r="BD160" i="1"/>
  <c r="DH394" i="11"/>
  <c r="DI394" i="11" s="1"/>
  <c r="DG357" i="11"/>
  <c r="BB159" i="1"/>
  <c r="AM159" i="1"/>
  <c r="BC116" i="1"/>
  <c r="BB120" i="1"/>
  <c r="AF117" i="1"/>
  <c r="F95" i="1"/>
  <c r="CQ27" i="1"/>
  <c r="CR27" i="1" s="1"/>
  <c r="F53" i="1"/>
  <c r="F118" i="1"/>
  <c r="F28" i="1"/>
  <c r="F72" i="1" s="1"/>
  <c r="P10" i="8"/>
  <c r="P11" i="8" s="1"/>
  <c r="DH370" i="11"/>
  <c r="DI370" i="11" s="1"/>
  <c r="DH384" i="11"/>
  <c r="DI384" i="11" s="1"/>
  <c r="DH363" i="11"/>
  <c r="DH371" i="11"/>
  <c r="DI371" i="11" s="1"/>
  <c r="DH376" i="11"/>
  <c r="DI376" i="11" s="1"/>
  <c r="DH387" i="11"/>
  <c r="DI387" i="11" s="1"/>
  <c r="DH368" i="11"/>
  <c r="DH377" i="11"/>
  <c r="DI377" i="11" s="1"/>
  <c r="DH398" i="11"/>
  <c r="DI398" i="11" s="1"/>
  <c r="DH380" i="11"/>
  <c r="DI380" i="11" s="1"/>
  <c r="DH396" i="11"/>
  <c r="DI396" i="11" s="1"/>
  <c r="DH372" i="11"/>
  <c r="DI372" i="11" s="1"/>
  <c r="DH379" i="11"/>
  <c r="DI379" i="11" s="1"/>
  <c r="DH360" i="11"/>
  <c r="DH374" i="11"/>
  <c r="DI374" i="11" s="1"/>
  <c r="DH388" i="11"/>
  <c r="DI388" i="11" s="1"/>
  <c r="DH366" i="11"/>
  <c r="DH383" i="11"/>
  <c r="DI383" i="11" s="1"/>
  <c r="DH385" i="11"/>
  <c r="DI385" i="11" s="1"/>
  <c r="DH361" i="11"/>
  <c r="DH367" i="11"/>
  <c r="DI367" i="11" s="1"/>
  <c r="DH393" i="11"/>
  <c r="DI393" i="11" s="1"/>
  <c r="DH373" i="11"/>
  <c r="DI373" i="11" s="1"/>
  <c r="DH364" i="11"/>
  <c r="DH375" i="11"/>
  <c r="DI375" i="11" s="1"/>
  <c r="DH397" i="11"/>
  <c r="DI397" i="11" s="1"/>
  <c r="DH378" i="11"/>
  <c r="DI378" i="11" s="1"/>
  <c r="DH389" i="11"/>
  <c r="DI389" i="11" s="1"/>
  <c r="DH369" i="11"/>
  <c r="DI369" i="11" s="1"/>
  <c r="DH381" i="11"/>
  <c r="DI381" i="11" s="1"/>
  <c r="DH395" i="11"/>
  <c r="DI395" i="11" s="1"/>
  <c r="DH382" i="11"/>
  <c r="DI382" i="11" s="1"/>
  <c r="DH390" i="11"/>
  <c r="DI390" i="11" s="1"/>
  <c r="DH365" i="11"/>
  <c r="DH391" i="11"/>
  <c r="DI391" i="11" s="1"/>
  <c r="DH362" i="11"/>
  <c r="DH386" i="11"/>
  <c r="DI386" i="11" s="1"/>
  <c r="DH392" i="11"/>
  <c r="DI392" i="11" s="1"/>
  <c r="CS30" i="17" l="1"/>
  <c r="O78" i="8"/>
  <c r="S78" i="8" s="1"/>
  <c r="CS20" i="17" s="1"/>
  <c r="P70" i="8"/>
  <c r="O69" i="8"/>
  <c r="S69" i="8" s="1"/>
  <c r="P34" i="8"/>
  <c r="O33" i="8"/>
  <c r="S33" i="8" s="1"/>
  <c r="P81" i="8"/>
  <c r="O81" i="8" s="1"/>
  <c r="P46" i="8"/>
  <c r="P47" i="8" s="1"/>
  <c r="S45" i="8"/>
  <c r="S79" i="8"/>
  <c r="CS21" i="17" s="1"/>
  <c r="S80" i="8"/>
  <c r="CS22" i="17" s="1"/>
  <c r="S86" i="8"/>
  <c r="CS28" i="17" s="1"/>
  <c r="S87" i="8"/>
  <c r="CS29" i="17" s="1"/>
  <c r="P22" i="8"/>
  <c r="S21" i="8"/>
  <c r="J39" i="12"/>
  <c r="J36" i="12"/>
  <c r="J40" i="12"/>
  <c r="AT47" i="1"/>
  <c r="AV47" i="1" s="1"/>
  <c r="AT55" i="1"/>
  <c r="AU55" i="1" s="1"/>
  <c r="AT44" i="1"/>
  <c r="AU44" i="1" s="1"/>
  <c r="AT49" i="1"/>
  <c r="AV49" i="1" s="1"/>
  <c r="AT48" i="1"/>
  <c r="AV48" i="1" s="1"/>
  <c r="AT50" i="1"/>
  <c r="AU50" i="1" s="1"/>
  <c r="AT54" i="1"/>
  <c r="AU54" i="1" s="1"/>
  <c r="AT51" i="1"/>
  <c r="AU51" i="1" s="1"/>
  <c r="AT52" i="1"/>
  <c r="AU52" i="1" s="1"/>
  <c r="AT45" i="1"/>
  <c r="AV45" i="1" s="1"/>
  <c r="AT53" i="1"/>
  <c r="AV53" i="1" s="1"/>
  <c r="AT46" i="1"/>
  <c r="AV46" i="1" s="1"/>
  <c r="AW49" i="1"/>
  <c r="AW50" i="1"/>
  <c r="AW52" i="1"/>
  <c r="AE211" i="1"/>
  <c r="C38" i="12" s="1"/>
  <c r="AW48" i="1"/>
  <c r="AW55" i="1"/>
  <c r="AW47" i="1"/>
  <c r="AW54" i="1"/>
  <c r="AW46" i="1"/>
  <c r="AW53" i="1"/>
  <c r="AW45" i="1"/>
  <c r="AW44" i="1"/>
  <c r="AM51" i="12"/>
  <c r="AJ112" i="1"/>
  <c r="AJ46" i="12" s="1"/>
  <c r="AP46" i="12" s="1"/>
  <c r="BE116" i="1"/>
  <c r="AI113" i="1"/>
  <c r="AL113" i="1" s="1"/>
  <c r="BD117" i="1"/>
  <c r="BD161" i="1"/>
  <c r="DH357" i="11"/>
  <c r="DI357" i="11" s="1"/>
  <c r="DG356" i="11"/>
  <c r="BB160" i="1"/>
  <c r="BE160" i="1" s="1"/>
  <c r="AM160" i="1"/>
  <c r="BE159" i="1"/>
  <c r="BC117" i="1"/>
  <c r="BB121" i="1"/>
  <c r="F96" i="1"/>
  <c r="CQ28" i="1"/>
  <c r="CR28" i="1" s="1"/>
  <c r="F54" i="1"/>
  <c r="F119" i="1"/>
  <c r="F29" i="1"/>
  <c r="F73" i="1" s="1"/>
  <c r="P58" i="8"/>
  <c r="DI368" i="11"/>
  <c r="DI365" i="11"/>
  <c r="DI366" i="11"/>
  <c r="DI364" i="11"/>
  <c r="DI363" i="11"/>
  <c r="O10" i="8"/>
  <c r="S10" i="8" s="1"/>
  <c r="DI362" i="11"/>
  <c r="DI361" i="11"/>
  <c r="DI360" i="11"/>
  <c r="O11" i="8"/>
  <c r="S11" i="8" s="1"/>
  <c r="P12" i="8"/>
  <c r="P82" i="8" l="1"/>
  <c r="P71" i="8"/>
  <c r="O70" i="8"/>
  <c r="S70" i="8" s="1"/>
  <c r="P59" i="8"/>
  <c r="O58" i="8"/>
  <c r="S58" i="8" s="1"/>
  <c r="O46" i="8"/>
  <c r="S46" i="8" s="1"/>
  <c r="P48" i="8"/>
  <c r="O48" i="8" s="1"/>
  <c r="S48" i="8" s="1"/>
  <c r="O47" i="8"/>
  <c r="P35" i="8"/>
  <c r="O34" i="8"/>
  <c r="S34" i="8" s="1"/>
  <c r="P23" i="8"/>
  <c r="P24" i="8" s="1"/>
  <c r="O22" i="8"/>
  <c r="S22" i="8" s="1"/>
  <c r="S77" i="8"/>
  <c r="CS19" i="17" s="1"/>
  <c r="BO11" i="1"/>
  <c r="BO11" i="17"/>
  <c r="BO12" i="17" s="1"/>
  <c r="AV44" i="1"/>
  <c r="AX44" i="1"/>
  <c r="AU53" i="1"/>
  <c r="AH48" i="12" s="1"/>
  <c r="AN48" i="12" s="1"/>
  <c r="K45" i="12" s="1"/>
  <c r="AU45" i="1"/>
  <c r="AH40" i="12" s="1"/>
  <c r="AN40" i="12" s="1"/>
  <c r="K37" i="12" s="1"/>
  <c r="AU47" i="1"/>
  <c r="AH42" i="12" s="1"/>
  <c r="AN42" i="12" s="1"/>
  <c r="K39" i="12" s="1"/>
  <c r="AU46" i="1"/>
  <c r="AH41" i="12" s="1"/>
  <c r="AN41" i="12" s="1"/>
  <c r="K38" i="12" s="1"/>
  <c r="AV50" i="1"/>
  <c r="AU48" i="1"/>
  <c r="AH43" i="12" s="1"/>
  <c r="AN43" i="12" s="1"/>
  <c r="K40" i="12" s="1"/>
  <c r="AV51" i="1"/>
  <c r="AU49" i="1"/>
  <c r="AH44" i="12" s="1"/>
  <c r="AN44" i="12" s="1"/>
  <c r="K41" i="12" s="1"/>
  <c r="AV52" i="1"/>
  <c r="AV54" i="1"/>
  <c r="AV55" i="1"/>
  <c r="AT56" i="1"/>
  <c r="AW56" i="1"/>
  <c r="AH46" i="12"/>
  <c r="AN46" i="12" s="1"/>
  <c r="K43" i="12" s="1"/>
  <c r="AX51" i="1"/>
  <c r="AH45" i="12"/>
  <c r="AN45" i="12" s="1"/>
  <c r="K42" i="12" s="1"/>
  <c r="AX50" i="1"/>
  <c r="AH49" i="12"/>
  <c r="AN49" i="12" s="1"/>
  <c r="K46" i="12" s="1"/>
  <c r="AX54" i="1"/>
  <c r="AH50" i="12"/>
  <c r="AN50" i="12" s="1"/>
  <c r="K47" i="12" s="1"/>
  <c r="AX55" i="1"/>
  <c r="AH47" i="12"/>
  <c r="AN47" i="12" s="1"/>
  <c r="K44" i="12" s="1"/>
  <c r="AX52" i="1"/>
  <c r="M39" i="12"/>
  <c r="BB122" i="1"/>
  <c r="AJ113" i="1"/>
  <c r="AJ47" i="12" s="1"/>
  <c r="AP47" i="12" s="1"/>
  <c r="M44" i="12" s="1"/>
  <c r="BE117" i="1"/>
  <c r="AI114" i="1"/>
  <c r="AL114" i="1" s="1"/>
  <c r="BD118" i="1"/>
  <c r="BD162" i="1"/>
  <c r="DH356" i="11"/>
  <c r="DI356" i="11" s="1"/>
  <c r="DG355" i="11"/>
  <c r="BB161" i="1"/>
  <c r="BE161" i="1" s="1"/>
  <c r="AM161" i="1"/>
  <c r="BC118" i="1"/>
  <c r="CQ29" i="1"/>
  <c r="CR29" i="1" s="1"/>
  <c r="F55" i="1"/>
  <c r="Y117" i="1"/>
  <c r="F30" i="1"/>
  <c r="F74" i="1" s="1"/>
  <c r="O12" i="8"/>
  <c r="S12" i="8" s="1"/>
  <c r="P13" i="8"/>
  <c r="O13" i="8" s="1"/>
  <c r="S13" i="8" s="1"/>
  <c r="P49" i="8" l="1"/>
  <c r="O49" i="8" s="1"/>
  <c r="S49" i="8" s="1"/>
  <c r="O71" i="8"/>
  <c r="S71" i="8" s="1"/>
  <c r="P72" i="8"/>
  <c r="P83" i="8"/>
  <c r="O82" i="8"/>
  <c r="S82" i="8" s="1"/>
  <c r="CS24" i="17" s="1"/>
  <c r="P60" i="8"/>
  <c r="O59" i="8"/>
  <c r="S59" i="8" s="1"/>
  <c r="O35" i="8"/>
  <c r="S35" i="8" s="1"/>
  <c r="P36" i="8"/>
  <c r="P25" i="8"/>
  <c r="O24" i="8"/>
  <c r="S24" i="8" s="1"/>
  <c r="O23" i="8"/>
  <c r="S23" i="8" s="1"/>
  <c r="S81" i="8"/>
  <c r="CS23" i="17" s="1"/>
  <c r="CS28" i="1"/>
  <c r="S47" i="8"/>
  <c r="BB127" i="1"/>
  <c r="BB129" i="1" s="1"/>
  <c r="BB128" i="1"/>
  <c r="G52" i="12"/>
  <c r="BP19" i="17"/>
  <c r="BQ19" i="17"/>
  <c r="BR20" i="17"/>
  <c r="BQ20" i="17"/>
  <c r="BN20" i="17"/>
  <c r="BP20" i="17"/>
  <c r="BO20" i="17"/>
  <c r="BR19" i="17"/>
  <c r="BN19" i="17"/>
  <c r="BO19" i="17"/>
  <c r="BQ29" i="17"/>
  <c r="BP30" i="17"/>
  <c r="BR29" i="17"/>
  <c r="BR30" i="17"/>
  <c r="BP29" i="17"/>
  <c r="BN30" i="17"/>
  <c r="BN29" i="17"/>
  <c r="BQ30" i="17"/>
  <c r="BO29" i="17"/>
  <c r="BO30" i="17"/>
  <c r="AX46" i="1"/>
  <c r="AX53" i="1"/>
  <c r="AH39" i="12"/>
  <c r="AN39" i="12" s="1"/>
  <c r="AU56" i="1"/>
  <c r="AX47" i="1"/>
  <c r="AX48" i="1"/>
  <c r="AX45" i="1"/>
  <c r="AX49" i="1"/>
  <c r="CS20" i="1"/>
  <c r="M40" i="12"/>
  <c r="CS19" i="1"/>
  <c r="BB123" i="1"/>
  <c r="BB124" i="1"/>
  <c r="AJ114" i="1"/>
  <c r="AJ48" i="12" s="1"/>
  <c r="AP48" i="12" s="1"/>
  <c r="M45" i="12" s="1"/>
  <c r="CS21" i="1"/>
  <c r="BE118" i="1"/>
  <c r="AI115" i="1"/>
  <c r="AL115" i="1" s="1"/>
  <c r="AH117" i="1"/>
  <c r="BD119" i="1"/>
  <c r="BD163" i="1"/>
  <c r="BD164" i="1" s="1"/>
  <c r="AL164" i="1"/>
  <c r="DG354" i="11"/>
  <c r="DH355" i="11"/>
  <c r="DI355" i="11" s="1"/>
  <c r="BB162" i="1"/>
  <c r="BE162" i="1" s="1"/>
  <c r="AM162" i="1"/>
  <c r="BC119" i="1"/>
  <c r="AB117" i="1"/>
  <c r="Y118" i="1"/>
  <c r="AB118" i="1" s="1"/>
  <c r="CQ30" i="1"/>
  <c r="F56" i="1"/>
  <c r="CS22" i="1"/>
  <c r="CS29" i="1"/>
  <c r="CS24" i="1" l="1"/>
  <c r="O83" i="8"/>
  <c r="S83" i="8" s="1"/>
  <c r="P84" i="8"/>
  <c r="O84" i="8" s="1"/>
  <c r="O72" i="8"/>
  <c r="S72" i="8" s="1"/>
  <c r="P73" i="8"/>
  <c r="O60" i="8"/>
  <c r="S60" i="8" s="1"/>
  <c r="P61" i="8"/>
  <c r="CS23" i="1"/>
  <c r="O36" i="8"/>
  <c r="S36" i="8" s="1"/>
  <c r="P37" i="8"/>
  <c r="O25" i="8"/>
  <c r="S25" i="8" s="1"/>
  <c r="CR30" i="1"/>
  <c r="CS30" i="1" s="1"/>
  <c r="BX30" i="17"/>
  <c r="BV20" i="17"/>
  <c r="BX29" i="17"/>
  <c r="BS20" i="17"/>
  <c r="BU30" i="17"/>
  <c r="BV30" i="17"/>
  <c r="BW20" i="17"/>
  <c r="BU20" i="17"/>
  <c r="BU29" i="17"/>
  <c r="BW29" i="17"/>
  <c r="BX20" i="17"/>
  <c r="BW30" i="17"/>
  <c r="BO31" i="17"/>
  <c r="BU17" i="17"/>
  <c r="BU19" i="17" s="1"/>
  <c r="BW19" i="17"/>
  <c r="BQ31" i="17"/>
  <c r="CE15" i="17" s="1"/>
  <c r="BW17" i="17"/>
  <c r="BV29" i="17"/>
  <c r="BS29" i="17"/>
  <c r="BS19" i="17"/>
  <c r="BT17" i="17"/>
  <c r="BT30" i="17" s="1"/>
  <c r="BN31" i="17"/>
  <c r="BV19" i="17"/>
  <c r="BP31" i="17"/>
  <c r="CD15" i="17" s="1"/>
  <c r="BV17" i="17"/>
  <c r="BS30" i="17"/>
  <c r="BX19" i="17"/>
  <c r="BX17" i="17"/>
  <c r="BR31" i="17"/>
  <c r="CF15" i="17" s="1"/>
  <c r="AH51" i="12"/>
  <c r="G148" i="1"/>
  <c r="K36" i="12"/>
  <c r="AN51" i="12"/>
  <c r="M36" i="12"/>
  <c r="M41" i="12"/>
  <c r="AJ115" i="1"/>
  <c r="AJ49" i="12" s="1"/>
  <c r="AP49" i="12" s="1"/>
  <c r="M46" i="12" s="1"/>
  <c r="BE119" i="1"/>
  <c r="AI116" i="1"/>
  <c r="AL116" i="1" s="1"/>
  <c r="BD120" i="1"/>
  <c r="BD121" i="1" s="1"/>
  <c r="BD122" i="1" s="1"/>
  <c r="DG353" i="11"/>
  <c r="DH354" i="11"/>
  <c r="DI354" i="11" s="1"/>
  <c r="BB163" i="1"/>
  <c r="AM163" i="1"/>
  <c r="AM164" i="1" s="1"/>
  <c r="AJ164" i="1"/>
  <c r="BC120" i="1"/>
  <c r="AG117" i="1"/>
  <c r="O73" i="8" l="1"/>
  <c r="S73" i="8" s="1"/>
  <c r="P85" i="8"/>
  <c r="S84" i="8"/>
  <c r="CS26" i="17" s="1"/>
  <c r="CS25" i="1"/>
  <c r="CS25" i="17"/>
  <c r="O61" i="8"/>
  <c r="S61" i="8" s="1"/>
  <c r="O37" i="8"/>
  <c r="S37" i="8" s="1"/>
  <c r="BD128" i="1"/>
  <c r="BD127" i="1"/>
  <c r="BD129" i="1" s="1"/>
  <c r="CE20" i="17"/>
  <c r="CM20" i="17" s="1"/>
  <c r="CX20" i="17" s="1"/>
  <c r="DP20" i="17" s="1"/>
  <c r="CF19" i="17"/>
  <c r="CN19" i="17" s="1"/>
  <c r="CE19" i="17"/>
  <c r="CM19" i="17" s="1"/>
  <c r="CD30" i="17"/>
  <c r="CL30" i="17" s="1"/>
  <c r="CW30" i="17" s="1"/>
  <c r="DO30" i="17" s="1"/>
  <c r="BT20" i="17"/>
  <c r="CD19" i="17"/>
  <c r="CF20" i="17"/>
  <c r="CN20" i="17" s="1"/>
  <c r="CY20" i="17" s="1"/>
  <c r="CE22" i="17"/>
  <c r="CM22" i="17" s="1"/>
  <c r="CX22" i="17" s="1"/>
  <c r="CE27" i="17"/>
  <c r="CM27" i="17" s="1"/>
  <c r="CE21" i="17"/>
  <c r="CM21" i="17" s="1"/>
  <c r="CX21" i="17" s="1"/>
  <c r="CE25" i="17"/>
  <c r="CM25" i="17" s="1"/>
  <c r="CE26" i="17"/>
  <c r="CM26" i="17" s="1"/>
  <c r="CE23" i="17"/>
  <c r="CM23" i="17" s="1"/>
  <c r="CX23" i="17" s="1"/>
  <c r="CE24" i="17"/>
  <c r="CM24" i="17" s="1"/>
  <c r="CX24" i="17" s="1"/>
  <c r="CE28" i="17"/>
  <c r="CM28" i="17" s="1"/>
  <c r="CX28" i="17" s="1"/>
  <c r="CF29" i="17"/>
  <c r="CN29" i="17" s="1"/>
  <c r="CY29" i="17" s="1"/>
  <c r="BS31" i="17"/>
  <c r="CE29" i="17"/>
  <c r="CM29" i="17" s="1"/>
  <c r="CX29" i="17" s="1"/>
  <c r="CD23" i="17"/>
  <c r="CL23" i="17" s="1"/>
  <c r="CW23" i="17" s="1"/>
  <c r="CD28" i="17"/>
  <c r="CL28" i="17" s="1"/>
  <c r="CW28" i="17" s="1"/>
  <c r="CD25" i="17"/>
  <c r="CL25" i="17" s="1"/>
  <c r="CD22" i="17"/>
  <c r="CL22" i="17" s="1"/>
  <c r="CW22" i="17" s="1"/>
  <c r="CD21" i="17"/>
  <c r="CL21" i="17" s="1"/>
  <c r="CW21" i="17" s="1"/>
  <c r="CD27" i="17"/>
  <c r="CL27" i="17" s="1"/>
  <c r="CD26" i="17"/>
  <c r="CL26" i="17" s="1"/>
  <c r="CD24" i="17"/>
  <c r="CL24" i="17" s="1"/>
  <c r="CW24" i="17" s="1"/>
  <c r="BT29" i="17"/>
  <c r="CD20" i="17"/>
  <c r="CL20" i="17" s="1"/>
  <c r="CW20" i="17" s="1"/>
  <c r="CF23" i="17"/>
  <c r="CN23" i="17" s="1"/>
  <c r="CY23" i="17" s="1"/>
  <c r="CF27" i="17"/>
  <c r="CN27" i="17" s="1"/>
  <c r="CF26" i="17"/>
  <c r="CN26" i="17" s="1"/>
  <c r="CF25" i="17"/>
  <c r="CN25" i="17" s="1"/>
  <c r="CF28" i="17"/>
  <c r="CN28" i="17" s="1"/>
  <c r="CY28" i="17" s="1"/>
  <c r="CF21" i="17"/>
  <c r="CN21" i="17" s="1"/>
  <c r="CY21" i="17" s="1"/>
  <c r="CF24" i="17"/>
  <c r="CN24" i="17" s="1"/>
  <c r="CY24" i="17" s="1"/>
  <c r="CF22" i="17"/>
  <c r="CN22" i="17" s="1"/>
  <c r="CY22" i="17" s="1"/>
  <c r="CD29" i="17"/>
  <c r="CL29" i="17" s="1"/>
  <c r="CW29" i="17" s="1"/>
  <c r="CF30" i="17"/>
  <c r="CN30" i="17" s="1"/>
  <c r="CY30" i="17" s="1"/>
  <c r="BT19" i="17"/>
  <c r="CE30" i="17"/>
  <c r="CM30" i="17" s="1"/>
  <c r="CX30" i="17" s="1"/>
  <c r="G150" i="1"/>
  <c r="I148" i="1"/>
  <c r="I149" i="1"/>
  <c r="M37" i="12"/>
  <c r="M42" i="12"/>
  <c r="AJ116" i="1"/>
  <c r="BD124" i="1"/>
  <c r="BD123" i="1"/>
  <c r="AI117" i="1"/>
  <c r="DG352" i="11"/>
  <c r="DH353" i="11"/>
  <c r="DI353" i="11" s="1"/>
  <c r="BE163" i="1"/>
  <c r="BE164" i="1" s="1"/>
  <c r="BB164" i="1"/>
  <c r="BC121" i="1"/>
  <c r="BE120" i="1"/>
  <c r="BE121" i="1" s="1"/>
  <c r="CW25" i="17" l="1"/>
  <c r="DF25" i="17" s="1"/>
  <c r="CX25" i="17"/>
  <c r="DP25" i="17" s="1"/>
  <c r="O85" i="8"/>
  <c r="S85" i="8" s="1"/>
  <c r="CX26" i="17"/>
  <c r="DG26" i="17" s="1"/>
  <c r="CW26" i="17"/>
  <c r="DO26" i="17" s="1"/>
  <c r="CY25" i="17"/>
  <c r="DQ25" i="17" s="1"/>
  <c r="CY26" i="17"/>
  <c r="DQ26" i="17" s="1"/>
  <c r="CS26" i="1"/>
  <c r="DG20" i="17"/>
  <c r="DF30" i="17"/>
  <c r="CD31" i="17"/>
  <c r="CD33" i="17" s="1"/>
  <c r="CL19" i="17"/>
  <c r="CL31" i="17" s="1"/>
  <c r="DF28" i="17"/>
  <c r="DO28" i="17"/>
  <c r="DH28" i="17"/>
  <c r="DQ28" i="17"/>
  <c r="DF23" i="17"/>
  <c r="DO23" i="17"/>
  <c r="DF24" i="17"/>
  <c r="DO24" i="17"/>
  <c r="DG29" i="17"/>
  <c r="DP29" i="17"/>
  <c r="DG21" i="17"/>
  <c r="DP21" i="17"/>
  <c r="DO20" i="17"/>
  <c r="DF20" i="17"/>
  <c r="BN32" i="17"/>
  <c r="CB15" i="17" s="1"/>
  <c r="BQ32" i="17"/>
  <c r="BP32" i="17"/>
  <c r="BO32" i="17"/>
  <c r="CC15" i="17" s="1"/>
  <c r="BR32" i="17"/>
  <c r="DF29" i="17"/>
  <c r="DO29" i="17"/>
  <c r="DQ29" i="17"/>
  <c r="DH29" i="17"/>
  <c r="DP22" i="17"/>
  <c r="DG22" i="17"/>
  <c r="DH23" i="17"/>
  <c r="DQ23" i="17"/>
  <c r="DF21" i="17"/>
  <c r="DO21" i="17"/>
  <c r="DG28" i="17"/>
  <c r="DP28" i="17"/>
  <c r="DH20" i="17"/>
  <c r="DQ20" i="17"/>
  <c r="DG30" i="17"/>
  <c r="DP30" i="17"/>
  <c r="DH22" i="17"/>
  <c r="DQ22" i="17"/>
  <c r="CM31" i="17"/>
  <c r="CX19" i="17"/>
  <c r="DO22" i="17"/>
  <c r="DF22" i="17"/>
  <c r="DP24" i="17"/>
  <c r="DG24" i="17"/>
  <c r="CN31" i="17"/>
  <c r="CY19" i="17"/>
  <c r="DQ21" i="17"/>
  <c r="DH21" i="17"/>
  <c r="DQ30" i="17"/>
  <c r="DH30" i="17"/>
  <c r="DH24" i="17"/>
  <c r="DQ24" i="17"/>
  <c r="CE31" i="17"/>
  <c r="DP23" i="17"/>
  <c r="DG23" i="17"/>
  <c r="CF31" i="17"/>
  <c r="I150" i="1"/>
  <c r="BC122" i="1"/>
  <c r="AJ50" i="12"/>
  <c r="AP50" i="12" s="1"/>
  <c r="AJ117" i="1"/>
  <c r="AA214" i="1" s="1"/>
  <c r="AA209" i="1" s="1"/>
  <c r="BD166" i="1"/>
  <c r="DG351" i="11"/>
  <c r="DH352" i="11"/>
  <c r="DI352" i="11" s="1"/>
  <c r="DP26" i="17" l="1"/>
  <c r="DO25" i="17"/>
  <c r="DF26" i="17"/>
  <c r="DG25" i="17"/>
  <c r="CS27" i="17"/>
  <c r="CY27" i="17" s="1"/>
  <c r="DH27" i="17" s="1"/>
  <c r="CS27" i="1"/>
  <c r="DH26" i="17"/>
  <c r="DH25" i="17"/>
  <c r="CC26" i="17"/>
  <c r="CK26" i="17" s="1"/>
  <c r="CV26" i="17" s="1"/>
  <c r="DN26" i="17" s="1"/>
  <c r="CC24" i="17"/>
  <c r="CK24" i="17" s="1"/>
  <c r="CV24" i="17" s="1"/>
  <c r="CC29" i="17"/>
  <c r="CK29" i="17" s="1"/>
  <c r="CV29" i="17" s="1"/>
  <c r="DE29" i="17" s="1"/>
  <c r="CC27" i="17"/>
  <c r="CK27" i="17" s="1"/>
  <c r="CC21" i="17"/>
  <c r="CK21" i="17" s="1"/>
  <c r="CV21" i="17" s="1"/>
  <c r="DE21" i="17" s="1"/>
  <c r="CC30" i="17"/>
  <c r="CK30" i="17" s="1"/>
  <c r="CV30" i="17" s="1"/>
  <c r="CC25" i="17"/>
  <c r="CK25" i="17" s="1"/>
  <c r="CV25" i="17" s="1"/>
  <c r="DN25" i="17" s="1"/>
  <c r="CC28" i="17"/>
  <c r="CK28" i="17" s="1"/>
  <c r="CV28" i="17" s="1"/>
  <c r="DN28" i="17" s="1"/>
  <c r="CC22" i="17"/>
  <c r="CK22" i="17" s="1"/>
  <c r="CV22" i="17" s="1"/>
  <c r="DE22" i="17" s="1"/>
  <c r="CC19" i="17"/>
  <c r="CC23" i="17"/>
  <c r="CK23" i="17" s="1"/>
  <c r="CV23" i="17" s="1"/>
  <c r="DN23" i="17" s="1"/>
  <c r="CC20" i="17"/>
  <c r="CK20" i="17" s="1"/>
  <c r="CV20" i="17" s="1"/>
  <c r="DN20" i="17" s="1"/>
  <c r="BC127" i="1"/>
  <c r="BC129" i="1" s="1"/>
  <c r="BE129" i="1" s="1"/>
  <c r="BC128" i="1"/>
  <c r="BE128" i="1" s="1"/>
  <c r="BK244" i="1" s="1"/>
  <c r="CW19" i="17"/>
  <c r="DF19" i="17" s="1"/>
  <c r="CL15" i="17"/>
  <c r="CL33" i="17" s="1"/>
  <c r="CN15" i="17"/>
  <c r="CN33" i="17" s="1"/>
  <c r="CF33" i="17"/>
  <c r="CB22" i="17"/>
  <c r="CB26" i="17"/>
  <c r="CB21" i="17"/>
  <c r="CB25" i="17"/>
  <c r="CB24" i="17"/>
  <c r="CB28" i="17"/>
  <c r="CB23" i="17"/>
  <c r="CB27" i="17"/>
  <c r="CB20" i="17"/>
  <c r="CB19" i="17"/>
  <c r="CB29" i="17"/>
  <c r="CB30" i="17"/>
  <c r="CE33" i="17"/>
  <c r="CM15" i="17"/>
  <c r="CM33" i="17" s="1"/>
  <c r="DQ19" i="17"/>
  <c r="DH19" i="17"/>
  <c r="DP19" i="17"/>
  <c r="DG19" i="17"/>
  <c r="C46" i="12"/>
  <c r="D46" i="12" s="1"/>
  <c r="M43" i="12"/>
  <c r="AE214" i="1"/>
  <c r="C41" i="12" s="1"/>
  <c r="BE122" i="1"/>
  <c r="BD215" i="1" s="1"/>
  <c r="BK215" i="1" s="1"/>
  <c r="D41" i="12" s="1"/>
  <c r="BC123" i="1"/>
  <c r="BE123" i="1" s="1"/>
  <c r="BC124" i="1"/>
  <c r="BE124" i="1" s="1"/>
  <c r="AJ51" i="12"/>
  <c r="AK51" i="12" s="1"/>
  <c r="M38" i="12"/>
  <c r="M47" i="12"/>
  <c r="AP51" i="12"/>
  <c r="AQ51" i="12" s="1"/>
  <c r="BD168" i="1"/>
  <c r="BD169" i="1" s="1"/>
  <c r="DG350" i="11"/>
  <c r="DH351" i="11"/>
  <c r="DI351" i="11" s="1"/>
  <c r="CW27" i="17" l="1"/>
  <c r="DF27" i="17" s="1"/>
  <c r="DF31" i="17" s="1"/>
  <c r="DF32" i="17" s="1"/>
  <c r="DF33" i="17" s="1"/>
  <c r="CV27" i="17"/>
  <c r="DN27" i="17" s="1"/>
  <c r="CY31" i="17"/>
  <c r="CX27" i="17"/>
  <c r="CX31" i="17" s="1"/>
  <c r="DQ27" i="17"/>
  <c r="DQ31" i="17" s="1"/>
  <c r="DQ32" i="17" s="1"/>
  <c r="DH31" i="17"/>
  <c r="DH32" i="17" s="1"/>
  <c r="DH33" i="17" s="1"/>
  <c r="BE127" i="1"/>
  <c r="BK233" i="1" s="1"/>
  <c r="BK255" i="1" s="1"/>
  <c r="DN29" i="17"/>
  <c r="DN21" i="17"/>
  <c r="DE23" i="17"/>
  <c r="DE26" i="17"/>
  <c r="DN22" i="17"/>
  <c r="DE25" i="17"/>
  <c r="DE30" i="17"/>
  <c r="DN30" i="17"/>
  <c r="DE28" i="17"/>
  <c r="DE20" i="17"/>
  <c r="CC31" i="17"/>
  <c r="DE24" i="17"/>
  <c r="DN24" i="17"/>
  <c r="DO19" i="17"/>
  <c r="CG27" i="17"/>
  <c r="CG24" i="17"/>
  <c r="CG23" i="17"/>
  <c r="CG30" i="17"/>
  <c r="CG25" i="17"/>
  <c r="CG29" i="17"/>
  <c r="CG21" i="17"/>
  <c r="CG19" i="17"/>
  <c r="CB31" i="17"/>
  <c r="CB33" i="17" s="1"/>
  <c r="CG26" i="17"/>
  <c r="CG28" i="17"/>
  <c r="CG20" i="17"/>
  <c r="CG22" i="17"/>
  <c r="G36" i="12"/>
  <c r="AE209" i="1"/>
  <c r="BF122" i="1"/>
  <c r="BD171" i="1"/>
  <c r="CD11" i="1" s="1"/>
  <c r="DG349" i="11"/>
  <c r="DH350" i="11"/>
  <c r="DI350" i="11" s="1"/>
  <c r="DO27" i="17" l="1"/>
  <c r="DO31" i="17" s="1"/>
  <c r="DO32" i="17" s="1"/>
  <c r="DG27" i="17"/>
  <c r="DG31" i="17" s="1"/>
  <c r="DG32" i="17" s="1"/>
  <c r="DP33" i="17" s="1"/>
  <c r="DP35" i="17" s="1"/>
  <c r="DP36" i="17" s="1"/>
  <c r="DP37" i="17" s="1"/>
  <c r="DP38" i="17" s="1"/>
  <c r="DP39" i="17" s="1"/>
  <c r="DP40" i="17" s="1"/>
  <c r="DP47" i="17" s="1"/>
  <c r="CW31" i="17"/>
  <c r="DE27" i="17"/>
  <c r="DP27" i="17"/>
  <c r="DP31" i="17" s="1"/>
  <c r="DP32" i="17" s="1"/>
  <c r="DQ33" i="17"/>
  <c r="DQ35" i="17" s="1"/>
  <c r="DQ36" i="17" s="1"/>
  <c r="DQ37" i="17" s="1"/>
  <c r="DQ38" i="17" s="1"/>
  <c r="DQ39" i="17" s="1"/>
  <c r="DQ40" i="17" s="1"/>
  <c r="DQ41" i="17" s="1"/>
  <c r="DO33" i="17"/>
  <c r="DO35" i="17" s="1"/>
  <c r="DO36" i="17" s="1"/>
  <c r="DO37" i="17" s="1"/>
  <c r="DO38" i="17" s="1"/>
  <c r="DO39" i="17" s="1"/>
  <c r="DO40" i="17" s="1"/>
  <c r="DO47" i="17" s="1"/>
  <c r="CC33" i="17"/>
  <c r="CG31" i="17"/>
  <c r="CB32" i="17" s="1"/>
  <c r="C36" i="12"/>
  <c r="DG348" i="11"/>
  <c r="DH349" i="11"/>
  <c r="DI349" i="11" s="1"/>
  <c r="DP46" i="17" l="1"/>
  <c r="DP48" i="17" s="1"/>
  <c r="DG33" i="17"/>
  <c r="DP41" i="17"/>
  <c r="DP43" i="17" s="1"/>
  <c r="DO46" i="17"/>
  <c r="DO48" i="17" s="1"/>
  <c r="DQ47" i="17"/>
  <c r="DQ46" i="17"/>
  <c r="DQ48" i="17" s="1"/>
  <c r="DO41" i="17"/>
  <c r="DO42" i="17" s="1"/>
  <c r="CJ30" i="17"/>
  <c r="CJ29" i="17"/>
  <c r="CJ19" i="17"/>
  <c r="CJ20" i="17"/>
  <c r="CC32" i="17"/>
  <c r="CF32" i="17"/>
  <c r="CD32" i="17"/>
  <c r="CG33" i="17"/>
  <c r="CH33" i="17" s="1"/>
  <c r="CE32" i="17"/>
  <c r="CJ15" i="17"/>
  <c r="CJ23" i="17"/>
  <c r="CJ22" i="17"/>
  <c r="CJ26" i="17"/>
  <c r="CJ27" i="17"/>
  <c r="CJ25" i="17"/>
  <c r="CJ21" i="17"/>
  <c r="CJ28" i="17"/>
  <c r="CJ24" i="17"/>
  <c r="DQ43" i="17"/>
  <c r="DQ42" i="17"/>
  <c r="DG347" i="11"/>
  <c r="DH348" i="11"/>
  <c r="DI348" i="11" s="1"/>
  <c r="DP42" i="17" l="1"/>
  <c r="DO43" i="17"/>
  <c r="CK19" i="17"/>
  <c r="CO19" i="17" s="1"/>
  <c r="CK15" i="17"/>
  <c r="CU20" i="17"/>
  <c r="CO20" i="17"/>
  <c r="CU19" i="17"/>
  <c r="CU29" i="17"/>
  <c r="CO29" i="17"/>
  <c r="CU30" i="17"/>
  <c r="CO30" i="17"/>
  <c r="CU21" i="17"/>
  <c r="CO21" i="17"/>
  <c r="CJ31" i="17"/>
  <c r="CJ33" i="17" s="1"/>
  <c r="CU25" i="17"/>
  <c r="CO25" i="17"/>
  <c r="CU27" i="17"/>
  <c r="CO27" i="17"/>
  <c r="CU26" i="17"/>
  <c r="CO26" i="17"/>
  <c r="CU28" i="17"/>
  <c r="CO28" i="17"/>
  <c r="CU22" i="17"/>
  <c r="CO22" i="17"/>
  <c r="CU23" i="17"/>
  <c r="CO23" i="17"/>
  <c r="CO24" i="17"/>
  <c r="CU24" i="17"/>
  <c r="DG346" i="11"/>
  <c r="DH347" i="11"/>
  <c r="DI347" i="11" s="1"/>
  <c r="CK31" i="17" l="1"/>
  <c r="CK33" i="17" s="1"/>
  <c r="CV19" i="17"/>
  <c r="CZ19" i="17" s="1"/>
  <c r="DD19" i="17"/>
  <c r="DM19" i="17"/>
  <c r="DD29" i="17"/>
  <c r="DI29" i="17" s="1"/>
  <c r="CZ29" i="17"/>
  <c r="DM29" i="17"/>
  <c r="DR29" i="17" s="1"/>
  <c r="DD20" i="17"/>
  <c r="DI20" i="17" s="1"/>
  <c r="CZ20" i="17"/>
  <c r="DM20" i="17"/>
  <c r="DR20" i="17" s="1"/>
  <c r="CZ30" i="17"/>
  <c r="DD30" i="17"/>
  <c r="DI30" i="17" s="1"/>
  <c r="DM30" i="17"/>
  <c r="DR30" i="17" s="1"/>
  <c r="DD23" i="17"/>
  <c r="DI23" i="17" s="1"/>
  <c r="DM23" i="17"/>
  <c r="DR23" i="17" s="1"/>
  <c r="CZ23" i="17"/>
  <c r="DD27" i="17"/>
  <c r="DI27" i="17" s="1"/>
  <c r="CZ27" i="17"/>
  <c r="DM27" i="17"/>
  <c r="DR27" i="17" s="1"/>
  <c r="DD22" i="17"/>
  <c r="DI22" i="17" s="1"/>
  <c r="DM22" i="17"/>
  <c r="DR22" i="17" s="1"/>
  <c r="CZ22" i="17"/>
  <c r="DM25" i="17"/>
  <c r="DR25" i="17" s="1"/>
  <c r="CZ25" i="17"/>
  <c r="DD25" i="17"/>
  <c r="DI25" i="17" s="1"/>
  <c r="DM26" i="17"/>
  <c r="DR26" i="17" s="1"/>
  <c r="DD26" i="17"/>
  <c r="DI26" i="17" s="1"/>
  <c r="CZ26" i="17"/>
  <c r="DD24" i="17"/>
  <c r="DI24" i="17" s="1"/>
  <c r="CZ24" i="17"/>
  <c r="DM24" i="17"/>
  <c r="DR24" i="17" s="1"/>
  <c r="DM28" i="17"/>
  <c r="DR28" i="17" s="1"/>
  <c r="CZ28" i="17"/>
  <c r="DD28" i="17"/>
  <c r="DI28" i="17" s="1"/>
  <c r="CO31" i="17"/>
  <c r="DD21" i="17"/>
  <c r="CZ21" i="17"/>
  <c r="DM21" i="17"/>
  <c r="CU31" i="17"/>
  <c r="DG345" i="11"/>
  <c r="DH346" i="11"/>
  <c r="DI346" i="11" s="1"/>
  <c r="CV31" i="17" l="1"/>
  <c r="DE19" i="17"/>
  <c r="DE31" i="17" s="1"/>
  <c r="DE32" i="17" s="1"/>
  <c r="DN19" i="17"/>
  <c r="DN31" i="17" s="1"/>
  <c r="DN32" i="17" s="1"/>
  <c r="CK32" i="17"/>
  <c r="CJ32" i="17"/>
  <c r="CM32" i="17"/>
  <c r="CO33" i="17"/>
  <c r="CP33" i="17" s="1"/>
  <c r="CL32" i="17"/>
  <c r="CN32" i="17"/>
  <c r="DR21" i="17"/>
  <c r="DM31" i="17"/>
  <c r="DM32" i="17" s="1"/>
  <c r="CZ31" i="17"/>
  <c r="DI21" i="17"/>
  <c r="DD31" i="17"/>
  <c r="DD32" i="17" s="1"/>
  <c r="DG344" i="11"/>
  <c r="DH345" i="11"/>
  <c r="DI345" i="11" s="1"/>
  <c r="DN33" i="17" l="1"/>
  <c r="DN35" i="17" s="1"/>
  <c r="DN36" i="17" s="1"/>
  <c r="DN37" i="17" s="1"/>
  <c r="DN38" i="17" s="1"/>
  <c r="DN39" i="17" s="1"/>
  <c r="DN40" i="17" s="1"/>
  <c r="DE33" i="17"/>
  <c r="DI19" i="17"/>
  <c r="DI31" i="17" s="1"/>
  <c r="DR32" i="17"/>
  <c r="DR19" i="17"/>
  <c r="DR31" i="17" s="1"/>
  <c r="DI32" i="17"/>
  <c r="DM33" i="17"/>
  <c r="DD33" i="17"/>
  <c r="CY32" i="17"/>
  <c r="CU32" i="17"/>
  <c r="CX32" i="17"/>
  <c r="CW32" i="17"/>
  <c r="CV32" i="17"/>
  <c r="DG343" i="11"/>
  <c r="DH344" i="11"/>
  <c r="DI344" i="11" s="1"/>
  <c r="DN46" i="17" l="1"/>
  <c r="DN48" i="17" s="1"/>
  <c r="DN47" i="17"/>
  <c r="DN41" i="17"/>
  <c r="DR33" i="17"/>
  <c r="DM34" i="17" s="1"/>
  <c r="DM35" i="17"/>
  <c r="DI33" i="17"/>
  <c r="DG342" i="11"/>
  <c r="DH343" i="11"/>
  <c r="DI343" i="11" s="1"/>
  <c r="DN42" i="17" l="1"/>
  <c r="DN43" i="17"/>
  <c r="DD34" i="17"/>
  <c r="DD35" i="17" s="1"/>
  <c r="DE34" i="17"/>
  <c r="DE35" i="17" s="1"/>
  <c r="DE36" i="17" s="1"/>
  <c r="DE37" i="17" s="1"/>
  <c r="DE38" i="17" s="1"/>
  <c r="DE39" i="17" s="1"/>
  <c r="DE40" i="17" s="1"/>
  <c r="DG34" i="17"/>
  <c r="DG35" i="17" s="1"/>
  <c r="DG36" i="17" s="1"/>
  <c r="DG37" i="17" s="1"/>
  <c r="DG38" i="17" s="1"/>
  <c r="DG39" i="17" s="1"/>
  <c r="DG40" i="17" s="1"/>
  <c r="DH34" i="17"/>
  <c r="DH35" i="17" s="1"/>
  <c r="DH36" i="17" s="1"/>
  <c r="DH37" i="17" s="1"/>
  <c r="DH38" i="17" s="1"/>
  <c r="DH39" i="17" s="1"/>
  <c r="DH40" i="17" s="1"/>
  <c r="DF34" i="17"/>
  <c r="DF35" i="17" s="1"/>
  <c r="DF36" i="17" s="1"/>
  <c r="DF37" i="17" s="1"/>
  <c r="DF38" i="17" s="1"/>
  <c r="DF39" i="17" s="1"/>
  <c r="DF40" i="17" s="1"/>
  <c r="DM36" i="17"/>
  <c r="DR35" i="17"/>
  <c r="DG341" i="11"/>
  <c r="DH342" i="11"/>
  <c r="DI342" i="11" s="1"/>
  <c r="DH46" i="17" l="1"/>
  <c r="DH48" i="17" s="1"/>
  <c r="DH47" i="17"/>
  <c r="DG46" i="17"/>
  <c r="DG48" i="17" s="1"/>
  <c r="DG47" i="17"/>
  <c r="DF46" i="17"/>
  <c r="DF48" i="17" s="1"/>
  <c r="DF47" i="17"/>
  <c r="DE46" i="17"/>
  <c r="DE48" i="17" s="1"/>
  <c r="DE47" i="17"/>
  <c r="DM37" i="17"/>
  <c r="DR36" i="17"/>
  <c r="DH41" i="17"/>
  <c r="DG41" i="17"/>
  <c r="DE41" i="17"/>
  <c r="DF41" i="17"/>
  <c r="DD36" i="17"/>
  <c r="DI35" i="17"/>
  <c r="DG340" i="11"/>
  <c r="DH341" i="11"/>
  <c r="DI341" i="11" s="1"/>
  <c r="DE43" i="17" l="1"/>
  <c r="DE42" i="17"/>
  <c r="DG42" i="17"/>
  <c r="DG43" i="17"/>
  <c r="DH43" i="17"/>
  <c r="DH42" i="17"/>
  <c r="DD37" i="17"/>
  <c r="DI36" i="17"/>
  <c r="DF43" i="17"/>
  <c r="DF42" i="17"/>
  <c r="DM38" i="17"/>
  <c r="DR37" i="17"/>
  <c r="DG339" i="11"/>
  <c r="DH340" i="11"/>
  <c r="DI340" i="11" s="1"/>
  <c r="DD38" i="17" l="1"/>
  <c r="DI37" i="17"/>
  <c r="DM39" i="17"/>
  <c r="DR38" i="17"/>
  <c r="DG338" i="11"/>
  <c r="DH339" i="11"/>
  <c r="DI339" i="11" s="1"/>
  <c r="DM40" i="17" l="1"/>
  <c r="DR39" i="17"/>
  <c r="DI38" i="17"/>
  <c r="DD39" i="17"/>
  <c r="DG337" i="11"/>
  <c r="DH338" i="11"/>
  <c r="DI338" i="11" s="1"/>
  <c r="DM46" i="17" l="1"/>
  <c r="DM47" i="17"/>
  <c r="DI39" i="17"/>
  <c r="DD40" i="17"/>
  <c r="DM41" i="17"/>
  <c r="DR40" i="17"/>
  <c r="DG336" i="11"/>
  <c r="DH337" i="11"/>
  <c r="DI337" i="11" s="1"/>
  <c r="DS40" i="17" l="1"/>
  <c r="DS41" i="17" s="1"/>
  <c r="BG212" i="17"/>
  <c r="DR47" i="17"/>
  <c r="BO241" i="17" s="1"/>
  <c r="BO239" i="17" s="1"/>
  <c r="DR46" i="17"/>
  <c r="BO230" i="17" s="1"/>
  <c r="DM48" i="17"/>
  <c r="DR48" i="17" s="1"/>
  <c r="DD46" i="17"/>
  <c r="DD47" i="17"/>
  <c r="DI47" i="17" s="1"/>
  <c r="BK241" i="17" s="1"/>
  <c r="DI40" i="17"/>
  <c r="DD41" i="17"/>
  <c r="DR41" i="17"/>
  <c r="DM43" i="17"/>
  <c r="DR43" i="17" s="1"/>
  <c r="BG219" i="17" s="1"/>
  <c r="BO219" i="17" s="1"/>
  <c r="AH24" i="12" s="1"/>
  <c r="DM42" i="17"/>
  <c r="DR42" i="17" s="1"/>
  <c r="DS42" i="17" s="1"/>
  <c r="DG335" i="11"/>
  <c r="DH336" i="11"/>
  <c r="DI336" i="11" s="1"/>
  <c r="AH33" i="12" l="1"/>
  <c r="BO228" i="17"/>
  <c r="BO252" i="17"/>
  <c r="BO250" i="17" s="1"/>
  <c r="BG210" i="17"/>
  <c r="BO212" i="17"/>
  <c r="DI46" i="17"/>
  <c r="DD48" i="17"/>
  <c r="DI48" i="17" s="1"/>
  <c r="DD43" i="17"/>
  <c r="DI43" i="17" s="1"/>
  <c r="BD219" i="17" s="1"/>
  <c r="BK219" i="17" s="1"/>
  <c r="DI41" i="17"/>
  <c r="DD42" i="17"/>
  <c r="DI42" i="17" s="1"/>
  <c r="BD212" i="17"/>
  <c r="DJ40" i="17"/>
  <c r="DJ41" i="17" s="1"/>
  <c r="DG334" i="11"/>
  <c r="DH335" i="11"/>
  <c r="DI335" i="11" s="1"/>
  <c r="AG24" i="12" l="1"/>
  <c r="C20" i="12" s="1"/>
  <c r="AI33" i="12"/>
  <c r="AG33" i="12"/>
  <c r="BO210" i="17"/>
  <c r="D53" i="12" s="1"/>
  <c r="D55" i="12"/>
  <c r="BK239" i="17"/>
  <c r="BK230" i="17"/>
  <c r="BK212" i="17"/>
  <c r="BD210" i="17"/>
  <c r="BD218" i="17"/>
  <c r="BK218" i="17" s="1"/>
  <c r="DJ42" i="17"/>
  <c r="DG333" i="11"/>
  <c r="DH334" i="11"/>
  <c r="DI334" i="11" s="1"/>
  <c r="AH32" i="12" l="1"/>
  <c r="C30" i="12" s="1"/>
  <c r="BK228" i="17"/>
  <c r="AG32" i="12" s="1"/>
  <c r="C29" i="12" s="1"/>
  <c r="BK252" i="17"/>
  <c r="BK250" i="17" s="1"/>
  <c r="BK210" i="17"/>
  <c r="DG332" i="11"/>
  <c r="DH333" i="11"/>
  <c r="DI333" i="11" s="1"/>
  <c r="AI32" i="12" l="1"/>
  <c r="C31" i="12" s="1"/>
  <c r="DH332" i="11"/>
  <c r="DI332" i="11" s="1"/>
  <c r="BO12" i="1" l="1"/>
  <c r="AG162" i="1"/>
  <c r="AG154" i="1"/>
  <c r="AG155" i="1"/>
  <c r="AG160" i="1"/>
  <c r="AG163" i="1"/>
  <c r="AE164" i="1"/>
  <c r="AG158" i="1"/>
  <c r="AG156" i="1"/>
  <c r="AG157" i="1"/>
  <c r="AG159" i="1"/>
  <c r="AG152" i="1"/>
  <c r="AG161" i="1"/>
  <c r="BR25" i="1" l="1"/>
  <c r="BX25" i="1" s="1"/>
  <c r="BN25" i="1"/>
  <c r="BP25" i="1"/>
  <c r="BV25" i="1" s="1"/>
  <c r="BQ25" i="1"/>
  <c r="BW25" i="1" s="1"/>
  <c r="BO25" i="1"/>
  <c r="BU25" i="1" s="1"/>
  <c r="G35" i="12"/>
  <c r="BN24" i="1"/>
  <c r="BP24" i="1"/>
  <c r="BV24" i="1" s="1"/>
  <c r="BO24" i="1"/>
  <c r="BQ24" i="1"/>
  <c r="BW24" i="1" s="1"/>
  <c r="BR24" i="1"/>
  <c r="BX24" i="1" s="1"/>
  <c r="BQ21" i="1"/>
  <c r="BW21" i="1" s="1"/>
  <c r="BP22" i="1"/>
  <c r="BV22" i="1" s="1"/>
  <c r="BQ22" i="1"/>
  <c r="BW22" i="1" s="1"/>
  <c r="BR21" i="1"/>
  <c r="BX21" i="1" s="1"/>
  <c r="BP23" i="1"/>
  <c r="BV23" i="1" s="1"/>
  <c r="BO23" i="1"/>
  <c r="BN21" i="1"/>
  <c r="BO21" i="1"/>
  <c r="BR22" i="1"/>
  <c r="BX22" i="1" s="1"/>
  <c r="BN23" i="1"/>
  <c r="BO22" i="1"/>
  <c r="BN22" i="1"/>
  <c r="BP21" i="1"/>
  <c r="BV21" i="1" s="1"/>
  <c r="BQ23" i="1"/>
  <c r="BW23" i="1" s="1"/>
  <c r="BR23" i="1"/>
  <c r="BX23" i="1" s="1"/>
  <c r="BN27" i="1"/>
  <c r="BO27" i="1"/>
  <c r="BR26" i="1"/>
  <c r="BX26" i="1" s="1"/>
  <c r="BQ26" i="1"/>
  <c r="BW26" i="1" s="1"/>
  <c r="BR27" i="1"/>
  <c r="BX27" i="1" s="1"/>
  <c r="BR28" i="1"/>
  <c r="BX28" i="1" s="1"/>
  <c r="BN28" i="1"/>
  <c r="BN26" i="1"/>
  <c r="BP26" i="1"/>
  <c r="BV26" i="1" s="1"/>
  <c r="BP28" i="1"/>
  <c r="BV28" i="1" s="1"/>
  <c r="BQ28" i="1"/>
  <c r="BW28" i="1" s="1"/>
  <c r="BP27" i="1"/>
  <c r="BV27" i="1" s="1"/>
  <c r="BQ27" i="1"/>
  <c r="BW27" i="1" s="1"/>
  <c r="BO26" i="1"/>
  <c r="BO28" i="1"/>
  <c r="BO19" i="1"/>
  <c r="BR29" i="1"/>
  <c r="BQ19" i="1"/>
  <c r="BQ30" i="1"/>
  <c r="BP29" i="1"/>
  <c r="BP30" i="1"/>
  <c r="BO30" i="1"/>
  <c r="BN19" i="1"/>
  <c r="BP19" i="1"/>
  <c r="BR20" i="1"/>
  <c r="BQ29" i="1"/>
  <c r="BN20" i="1"/>
  <c r="BP20" i="1"/>
  <c r="BR19" i="1"/>
  <c r="BO29" i="1"/>
  <c r="BN29" i="1"/>
  <c r="BN30" i="1"/>
  <c r="BO20" i="1"/>
  <c r="BQ20" i="1"/>
  <c r="BR30" i="1"/>
  <c r="AG153" i="1"/>
  <c r="AG164" i="1" s="1"/>
  <c r="BS25" i="1" l="1"/>
  <c r="BS22" i="1"/>
  <c r="BS24" i="1"/>
  <c r="BS23" i="1"/>
  <c r="BS21" i="1"/>
  <c r="BS26" i="1"/>
  <c r="BS28" i="1"/>
  <c r="BS30" i="1"/>
  <c r="BS29" i="1"/>
  <c r="BS19" i="1"/>
  <c r="BS20" i="1"/>
  <c r="BS27" i="1"/>
  <c r="BX29" i="1"/>
  <c r="BN31" i="1"/>
  <c r="BT17" i="1"/>
  <c r="BT20" i="1" s="1"/>
  <c r="BU17" i="1"/>
  <c r="BU19" i="1" s="1"/>
  <c r="BO31" i="1"/>
  <c r="BX20" i="1"/>
  <c r="BV20" i="1"/>
  <c r="BV30" i="1"/>
  <c r="BV17" i="1"/>
  <c r="BP31" i="1"/>
  <c r="BV19" i="1"/>
  <c r="BX30" i="1"/>
  <c r="BV29" i="1"/>
  <c r="BW19" i="1"/>
  <c r="BQ31" i="1"/>
  <c r="BW17" i="1"/>
  <c r="BX19" i="1"/>
  <c r="BR31" i="1"/>
  <c r="BX17" i="1"/>
  <c r="BW20" i="1"/>
  <c r="BW29" i="1"/>
  <c r="BW30" i="1"/>
  <c r="BT25" i="1" l="1"/>
  <c r="BU21" i="1"/>
  <c r="BT23" i="1"/>
  <c r="BU24" i="1"/>
  <c r="BT24" i="1"/>
  <c r="BU23" i="1"/>
  <c r="BT22" i="1"/>
  <c r="BT21" i="1"/>
  <c r="BU22" i="1"/>
  <c r="BU26" i="1"/>
  <c r="BU27" i="1"/>
  <c r="BU28" i="1"/>
  <c r="BT28" i="1"/>
  <c r="BT26" i="1"/>
  <c r="BT27" i="1"/>
  <c r="BU30" i="1"/>
  <c r="BS31" i="1"/>
  <c r="BT30" i="1"/>
  <c r="BU29" i="1"/>
  <c r="BT29" i="1"/>
  <c r="BU20" i="1"/>
  <c r="BT19" i="1"/>
  <c r="CF15" i="1"/>
  <c r="CE15" i="1"/>
  <c r="CD15" i="1"/>
  <c r="BN32" i="1" l="1"/>
  <c r="CB15" i="1" s="1"/>
  <c r="CB25" i="1" s="1"/>
  <c r="BR32" i="1"/>
  <c r="BP32" i="1"/>
  <c r="BQ32" i="1"/>
  <c r="BO32" i="1"/>
  <c r="CC15" i="1" s="1"/>
  <c r="CC19" i="1" s="1"/>
  <c r="CE22" i="1"/>
  <c r="CM22" i="1" s="1"/>
  <c r="CX22" i="1" s="1"/>
  <c r="CE25" i="1"/>
  <c r="CM25" i="1" s="1"/>
  <c r="CX25" i="1" s="1"/>
  <c r="CE27" i="1"/>
  <c r="CM27" i="1" s="1"/>
  <c r="CX27" i="1" s="1"/>
  <c r="CE21" i="1"/>
  <c r="CM21" i="1" s="1"/>
  <c r="CX21" i="1" s="1"/>
  <c r="CE26" i="1"/>
  <c r="CM26" i="1" s="1"/>
  <c r="CX26" i="1" s="1"/>
  <c r="CE28" i="1"/>
  <c r="CM28" i="1" s="1"/>
  <c r="CX28" i="1" s="1"/>
  <c r="CE23" i="1"/>
  <c r="CM23" i="1" s="1"/>
  <c r="CX23" i="1" s="1"/>
  <c r="CE24" i="1"/>
  <c r="CM24" i="1" s="1"/>
  <c r="CX24" i="1" s="1"/>
  <c r="CE20" i="1"/>
  <c r="CM20" i="1" s="1"/>
  <c r="CX20" i="1" s="1"/>
  <c r="CE19" i="1"/>
  <c r="CE29" i="1"/>
  <c r="CM29" i="1" s="1"/>
  <c r="CX29" i="1" s="1"/>
  <c r="CE30" i="1"/>
  <c r="CM30" i="1" s="1"/>
  <c r="CX30" i="1" s="1"/>
  <c r="CF25" i="1"/>
  <c r="CN25" i="1" s="1"/>
  <c r="CY25" i="1" s="1"/>
  <c r="CF26" i="1"/>
  <c r="CN26" i="1" s="1"/>
  <c r="CY26" i="1" s="1"/>
  <c r="CF24" i="1"/>
  <c r="CN24" i="1" s="1"/>
  <c r="CF28" i="1"/>
  <c r="CN28" i="1" s="1"/>
  <c r="CY28" i="1" s="1"/>
  <c r="CF23" i="1"/>
  <c r="CN23" i="1" s="1"/>
  <c r="CY23" i="1" s="1"/>
  <c r="CF21" i="1"/>
  <c r="CN21" i="1" s="1"/>
  <c r="CY21" i="1" s="1"/>
  <c r="CF27" i="1"/>
  <c r="CN27" i="1" s="1"/>
  <c r="CY27" i="1" s="1"/>
  <c r="CF22" i="1"/>
  <c r="CN22" i="1" s="1"/>
  <c r="CY22" i="1" s="1"/>
  <c r="CF29" i="1"/>
  <c r="CN29" i="1" s="1"/>
  <c r="CF19" i="1"/>
  <c r="CF30" i="1"/>
  <c r="CN30" i="1" s="1"/>
  <c r="CF20" i="1"/>
  <c r="CN20" i="1" s="1"/>
  <c r="CY20" i="1" s="1"/>
  <c r="CD21" i="1"/>
  <c r="CL21" i="1" s="1"/>
  <c r="CW21" i="1" s="1"/>
  <c r="CD28" i="1"/>
  <c r="CL28" i="1" s="1"/>
  <c r="CW28" i="1" s="1"/>
  <c r="CD22" i="1"/>
  <c r="CL22" i="1" s="1"/>
  <c r="CW22" i="1" s="1"/>
  <c r="CD25" i="1"/>
  <c r="CL25" i="1" s="1"/>
  <c r="CW25" i="1" s="1"/>
  <c r="CD27" i="1"/>
  <c r="CL27" i="1" s="1"/>
  <c r="CW27" i="1" s="1"/>
  <c r="CD26" i="1"/>
  <c r="CL26" i="1" s="1"/>
  <c r="CW26" i="1" s="1"/>
  <c r="CD24" i="1"/>
  <c r="CL24" i="1" s="1"/>
  <c r="CW24" i="1" s="1"/>
  <c r="CD23" i="1"/>
  <c r="CL23" i="1" s="1"/>
  <c r="CW23" i="1" s="1"/>
  <c r="CD29" i="1"/>
  <c r="CL29" i="1" s="1"/>
  <c r="CW29" i="1" s="1"/>
  <c r="CD19" i="1"/>
  <c r="CD20" i="1"/>
  <c r="CL20" i="1" s="1"/>
  <c r="CW20" i="1" s="1"/>
  <c r="CD30" i="1"/>
  <c r="CL30" i="1" s="1"/>
  <c r="CW30" i="1" s="1"/>
  <c r="DF24" i="1" l="1"/>
  <c r="DO24" i="1"/>
  <c r="DH27" i="1"/>
  <c r="DQ27" i="1"/>
  <c r="DG29" i="1"/>
  <c r="DP29" i="1"/>
  <c r="DG27" i="1"/>
  <c r="DP27" i="1"/>
  <c r="DG21" i="1"/>
  <c r="DP21" i="1"/>
  <c r="DF26" i="1"/>
  <c r="DO26" i="1"/>
  <c r="DG25" i="1"/>
  <c r="DP25" i="1"/>
  <c r="DF23" i="1"/>
  <c r="DO23" i="1"/>
  <c r="DF27" i="1"/>
  <c r="DO27" i="1"/>
  <c r="DH23" i="1"/>
  <c r="DQ23" i="1"/>
  <c r="DG20" i="1"/>
  <c r="DP20" i="1"/>
  <c r="DG22" i="1"/>
  <c r="DP22" i="1"/>
  <c r="DH22" i="1"/>
  <c r="DQ22" i="1"/>
  <c r="DF30" i="1"/>
  <c r="DO30" i="1"/>
  <c r="DH28" i="1"/>
  <c r="DQ28" i="1"/>
  <c r="DG24" i="1"/>
  <c r="DP24" i="1"/>
  <c r="DG30" i="1"/>
  <c r="DP30" i="1"/>
  <c r="DF22" i="1"/>
  <c r="DO22" i="1"/>
  <c r="DG23" i="1"/>
  <c r="DP23" i="1"/>
  <c r="DH20" i="1"/>
  <c r="DQ20" i="1"/>
  <c r="DF28" i="1"/>
  <c r="DO28" i="1"/>
  <c r="DH26" i="1"/>
  <c r="DQ26" i="1"/>
  <c r="DG28" i="1"/>
  <c r="DP28" i="1"/>
  <c r="DH21" i="1"/>
  <c r="DQ21" i="1"/>
  <c r="DF25" i="1"/>
  <c r="DO25" i="1"/>
  <c r="DF20" i="1"/>
  <c r="DO20" i="1"/>
  <c r="DF29" i="1"/>
  <c r="DO29" i="1"/>
  <c r="DF21" i="1"/>
  <c r="DO21" i="1"/>
  <c r="DH25" i="1"/>
  <c r="DQ25" i="1"/>
  <c r="DG26" i="1"/>
  <c r="DP26" i="1"/>
  <c r="CY30" i="1"/>
  <c r="CY29" i="1"/>
  <c r="CY24" i="1"/>
  <c r="CB29" i="1"/>
  <c r="CB24" i="1"/>
  <c r="CB28" i="1"/>
  <c r="CB21" i="1"/>
  <c r="CB20" i="1"/>
  <c r="CB23" i="1"/>
  <c r="CB30" i="1"/>
  <c r="CB22" i="1"/>
  <c r="CB19" i="1"/>
  <c r="CG19" i="1" s="1"/>
  <c r="CB27" i="1"/>
  <c r="CB26" i="1"/>
  <c r="CC26" i="1"/>
  <c r="CC20" i="1"/>
  <c r="CC21" i="1"/>
  <c r="CC24" i="1"/>
  <c r="CC23" i="1"/>
  <c r="CC30" i="1"/>
  <c r="CC29" i="1"/>
  <c r="CC25" i="1"/>
  <c r="CG25" i="1" s="1"/>
  <c r="CC27" i="1"/>
  <c r="CC28" i="1"/>
  <c r="CC22" i="1"/>
  <c r="CL19" i="1"/>
  <c r="CD31" i="1"/>
  <c r="CE31" i="1"/>
  <c r="CM19" i="1"/>
  <c r="CF31" i="1"/>
  <c r="CN19" i="1"/>
  <c r="DH24" i="1" l="1"/>
  <c r="DQ24" i="1"/>
  <c r="DH29" i="1"/>
  <c r="DQ29" i="1"/>
  <c r="DH30" i="1"/>
  <c r="DQ30" i="1"/>
  <c r="CG23" i="1"/>
  <c r="CG24" i="1"/>
  <c r="CG22" i="1"/>
  <c r="CG21" i="1"/>
  <c r="CG26" i="1"/>
  <c r="CG28" i="1"/>
  <c r="CG27" i="1"/>
  <c r="CG29" i="1"/>
  <c r="CG20" i="1"/>
  <c r="CG30" i="1"/>
  <c r="CB31" i="1"/>
  <c r="CC31" i="1"/>
  <c r="CC33" i="1" s="1"/>
  <c r="CM31" i="1"/>
  <c r="CX19" i="1"/>
  <c r="DP19" i="1" s="1"/>
  <c r="CE33" i="1"/>
  <c r="CM15" i="1"/>
  <c r="CY19" i="1"/>
  <c r="DQ19" i="1" s="1"/>
  <c r="CN31" i="1"/>
  <c r="CL15" i="1"/>
  <c r="CD33" i="1"/>
  <c r="CN15" i="1"/>
  <c r="CF33" i="1"/>
  <c r="CL31" i="1"/>
  <c r="CW19" i="1"/>
  <c r="DO19" i="1" s="1"/>
  <c r="CB33" i="1" l="1"/>
  <c r="CG31" i="1"/>
  <c r="CN33" i="1"/>
  <c r="CL33" i="1"/>
  <c r="CW31" i="1"/>
  <c r="DF19" i="1"/>
  <c r="DG19" i="1"/>
  <c r="CX31" i="1"/>
  <c r="CM33" i="1"/>
  <c r="DH19" i="1"/>
  <c r="DH31" i="1" s="1"/>
  <c r="DH32" i="1" s="1"/>
  <c r="CY31" i="1"/>
  <c r="CB32" i="1" l="1"/>
  <c r="CJ20" i="1" s="1"/>
  <c r="CE32" i="1"/>
  <c r="CD32" i="1"/>
  <c r="CF32" i="1"/>
  <c r="CC32" i="1"/>
  <c r="CK21" i="1" s="1"/>
  <c r="CV21" i="1" s="1"/>
  <c r="DH33" i="1"/>
  <c r="DQ33" i="1"/>
  <c r="DQ35" i="1" s="1"/>
  <c r="DG31" i="1"/>
  <c r="DG32" i="1" s="1"/>
  <c r="DQ31" i="1"/>
  <c r="DQ32" i="1" s="1"/>
  <c r="DF31" i="1"/>
  <c r="DF32" i="1" s="1"/>
  <c r="DP31" i="1"/>
  <c r="DP32" i="1" s="1"/>
  <c r="CG33" i="1"/>
  <c r="CH33" i="1" s="1"/>
  <c r="CJ21" i="1" l="1"/>
  <c r="CO21" i="1" s="1"/>
  <c r="CJ30" i="1"/>
  <c r="CU30" i="1" s="1"/>
  <c r="DM30" i="1" s="1"/>
  <c r="CJ23" i="1"/>
  <c r="CU23" i="1" s="1"/>
  <c r="CJ28" i="1"/>
  <c r="CU28" i="1" s="1"/>
  <c r="DM28" i="1" s="1"/>
  <c r="CJ24" i="1"/>
  <c r="CU24" i="1" s="1"/>
  <c r="CJ29" i="1"/>
  <c r="CU29" i="1" s="1"/>
  <c r="CJ26" i="1"/>
  <c r="CU26" i="1" s="1"/>
  <c r="DM26" i="1" s="1"/>
  <c r="CJ27" i="1"/>
  <c r="CU27" i="1" s="1"/>
  <c r="DM27" i="1" s="1"/>
  <c r="CJ25" i="1"/>
  <c r="CU25" i="1" s="1"/>
  <c r="DM25" i="1" s="1"/>
  <c r="CJ22" i="1"/>
  <c r="CU22" i="1" s="1"/>
  <c r="CJ15" i="1"/>
  <c r="CJ19" i="1"/>
  <c r="CU19" i="1" s="1"/>
  <c r="DM19" i="1" s="1"/>
  <c r="DF33" i="1"/>
  <c r="DO33" i="1"/>
  <c r="DO35" i="1" s="1"/>
  <c r="DG33" i="1"/>
  <c r="DP33" i="1"/>
  <c r="DP35" i="1" s="1"/>
  <c r="DE21" i="1"/>
  <c r="DN21" i="1"/>
  <c r="CU20" i="1"/>
  <c r="CK23" i="1"/>
  <c r="CV23" i="1" s="1"/>
  <c r="CK26" i="1"/>
  <c r="CV26" i="1" s="1"/>
  <c r="CK29" i="1"/>
  <c r="CV29" i="1" s="1"/>
  <c r="CK20" i="1"/>
  <c r="CV20" i="1" s="1"/>
  <c r="CK22" i="1"/>
  <c r="CV22" i="1" s="1"/>
  <c r="CK27" i="1"/>
  <c r="CV27" i="1" s="1"/>
  <c r="CK30" i="1"/>
  <c r="CV30" i="1" s="1"/>
  <c r="CK28" i="1"/>
  <c r="CV28" i="1" s="1"/>
  <c r="CK15" i="1"/>
  <c r="CK19" i="1"/>
  <c r="CK25" i="1"/>
  <c r="CV25" i="1" s="1"/>
  <c r="CK24" i="1"/>
  <c r="CV24" i="1" s="1"/>
  <c r="CU21" i="1" l="1"/>
  <c r="CZ21" i="1" s="1"/>
  <c r="CO19" i="1"/>
  <c r="CJ31" i="1"/>
  <c r="CJ33" i="1" s="1"/>
  <c r="DD30" i="1"/>
  <c r="DE28" i="1"/>
  <c r="DN28" i="1"/>
  <c r="DE23" i="1"/>
  <c r="DN23" i="1"/>
  <c r="DE27" i="1"/>
  <c r="DN27" i="1"/>
  <c r="DD22" i="1"/>
  <c r="DM22" i="1"/>
  <c r="DE22" i="1"/>
  <c r="DN22" i="1"/>
  <c r="DD20" i="1"/>
  <c r="DM20" i="1"/>
  <c r="DE24" i="1"/>
  <c r="DN24" i="1"/>
  <c r="DD24" i="1"/>
  <c r="DM24" i="1"/>
  <c r="DE30" i="1"/>
  <c r="DN30" i="1"/>
  <c r="DR30" i="1" s="1"/>
  <c r="DE25" i="1"/>
  <c r="DN25" i="1"/>
  <c r="DR25" i="1" s="1"/>
  <c r="DE29" i="1"/>
  <c r="DN29" i="1"/>
  <c r="DE20" i="1"/>
  <c r="DN20" i="1"/>
  <c r="DD29" i="1"/>
  <c r="DM29" i="1"/>
  <c r="DD25" i="1"/>
  <c r="DE26" i="1"/>
  <c r="DN26" i="1"/>
  <c r="DD23" i="1"/>
  <c r="DM23" i="1"/>
  <c r="DD19" i="1"/>
  <c r="CO26" i="1"/>
  <c r="CZ26" i="1"/>
  <c r="CO28" i="1"/>
  <c r="CZ28" i="1"/>
  <c r="CZ30" i="1"/>
  <c r="DD28" i="1"/>
  <c r="CO24" i="1"/>
  <c r="CZ24" i="1"/>
  <c r="CZ22" i="1"/>
  <c r="CZ29" i="1"/>
  <c r="CZ20" i="1"/>
  <c r="DD27" i="1"/>
  <c r="CZ27" i="1"/>
  <c r="DD26" i="1"/>
  <c r="CO23" i="1"/>
  <c r="CZ23" i="1"/>
  <c r="CZ25" i="1"/>
  <c r="CO27" i="1"/>
  <c r="CO22" i="1"/>
  <c r="CO20" i="1"/>
  <c r="CO29" i="1"/>
  <c r="CO30" i="1"/>
  <c r="CO25" i="1"/>
  <c r="CV19" i="1"/>
  <c r="CK31" i="1"/>
  <c r="DD21" i="1" l="1"/>
  <c r="DD31" i="1" s="1"/>
  <c r="DD32" i="1" s="1"/>
  <c r="DD33" i="1" s="1"/>
  <c r="DM21" i="1"/>
  <c r="DM31" i="1" s="1"/>
  <c r="DM32" i="1" s="1"/>
  <c r="CU31" i="1"/>
  <c r="CK33" i="1"/>
  <c r="DI25" i="1"/>
  <c r="DR22" i="1"/>
  <c r="DI30" i="1"/>
  <c r="DR24" i="1"/>
  <c r="DI22" i="1"/>
  <c r="DR29" i="1"/>
  <c r="DI23" i="1"/>
  <c r="DI29" i="1"/>
  <c r="DI24" i="1"/>
  <c r="DR23" i="1"/>
  <c r="DR20" i="1"/>
  <c r="DI20" i="1"/>
  <c r="CZ19" i="1"/>
  <c r="CZ31" i="1" s="1"/>
  <c r="CY32" i="1" s="1"/>
  <c r="DN19" i="1"/>
  <c r="DR19" i="1" s="1"/>
  <c r="DI26" i="1"/>
  <c r="DR26" i="1"/>
  <c r="DI28" i="1"/>
  <c r="DR28" i="1"/>
  <c r="DI27" i="1"/>
  <c r="DR27" i="1"/>
  <c r="DE19" i="1"/>
  <c r="CV31" i="1"/>
  <c r="CO31" i="1"/>
  <c r="CJ32" i="1" s="1"/>
  <c r="DI21" i="1" l="1"/>
  <c r="CU32" i="1"/>
  <c r="CW32" i="1"/>
  <c r="CX32" i="1"/>
  <c r="CV32" i="1"/>
  <c r="CN32" i="1"/>
  <c r="CL32" i="1"/>
  <c r="CM32" i="1"/>
  <c r="CK32" i="1"/>
  <c r="DM33" i="1"/>
  <c r="DE31" i="1"/>
  <c r="DE32" i="1" s="1"/>
  <c r="DR21" i="1"/>
  <c r="DR31" i="1" s="1"/>
  <c r="DN31" i="1"/>
  <c r="DN32" i="1" s="1"/>
  <c r="DI19" i="1"/>
  <c r="CO33" i="1"/>
  <c r="CP33" i="1" s="1"/>
  <c r="DI31" i="1" l="1"/>
  <c r="DM35" i="1"/>
  <c r="DE33" i="1"/>
  <c r="DI33" i="1" s="1"/>
  <c r="DN33" i="1"/>
  <c r="DN35" i="1" s="1"/>
  <c r="DI32" i="1"/>
  <c r="DO31" i="1"/>
  <c r="DD34" i="1" l="1"/>
  <c r="DD35" i="1" s="1"/>
  <c r="DE34" i="1"/>
  <c r="DH34" i="1"/>
  <c r="DG34" i="1"/>
  <c r="DF34" i="1"/>
  <c r="DR33" i="1"/>
  <c r="DO32" i="1"/>
  <c r="DN36" i="1" l="1"/>
  <c r="DN37" i="1" s="1"/>
  <c r="DN38" i="1" s="1"/>
  <c r="DN39" i="1" s="1"/>
  <c r="DN40" i="1" s="1"/>
  <c r="DN47" i="1" s="1"/>
  <c r="DM34" i="1"/>
  <c r="DM36" i="1" s="1"/>
  <c r="DM37" i="1" s="1"/>
  <c r="DM38" i="1" s="1"/>
  <c r="DM39" i="1" s="1"/>
  <c r="DM40" i="1" s="1"/>
  <c r="DM46" i="1" s="1"/>
  <c r="DD36" i="1"/>
  <c r="DD37" i="1" s="1"/>
  <c r="DQ36" i="1"/>
  <c r="DQ37" i="1" s="1"/>
  <c r="DQ38" i="1" s="1"/>
  <c r="DQ39" i="1" s="1"/>
  <c r="DQ40" i="1" s="1"/>
  <c r="DQ47" i="1" s="1"/>
  <c r="DP36" i="1"/>
  <c r="DP37" i="1" s="1"/>
  <c r="DP38" i="1" s="1"/>
  <c r="DP39" i="1" s="1"/>
  <c r="DP40" i="1" s="1"/>
  <c r="DP47" i="1" s="1"/>
  <c r="DO36" i="1"/>
  <c r="DO37" i="1" s="1"/>
  <c r="DO38" i="1" s="1"/>
  <c r="DO39" i="1" s="1"/>
  <c r="DO40" i="1" s="1"/>
  <c r="DO47" i="1" s="1"/>
  <c r="DR32" i="1"/>
  <c r="DM48" i="1" l="1"/>
  <c r="DM47" i="1"/>
  <c r="DR47" i="1" s="1"/>
  <c r="BO241" i="1" s="1"/>
  <c r="BO239" i="1" s="1"/>
  <c r="DQ41" i="1"/>
  <c r="DQ46" i="1"/>
  <c r="DP41" i="1"/>
  <c r="DP46" i="1"/>
  <c r="DO41" i="1"/>
  <c r="DO46" i="1"/>
  <c r="DN41" i="1"/>
  <c r="DN46" i="1"/>
  <c r="DM41" i="1"/>
  <c r="DM43" i="1" s="1"/>
  <c r="DH35" i="1"/>
  <c r="DH36" i="1" s="1"/>
  <c r="DG35" i="1"/>
  <c r="DG36" i="1" s="1"/>
  <c r="DF35" i="1"/>
  <c r="DE35" i="1"/>
  <c r="AH31" i="12" l="1"/>
  <c r="DM42" i="1"/>
  <c r="DG37" i="1"/>
  <c r="DH37" i="1"/>
  <c r="DI35" i="1"/>
  <c r="DD38" i="1"/>
  <c r="DD39" i="1" s="1"/>
  <c r="DD40" i="1" s="1"/>
  <c r="DD41" i="1" s="1"/>
  <c r="DF36" i="1"/>
  <c r="DE36" i="1"/>
  <c r="DE37" i="1" s="1"/>
  <c r="DE38" i="1" s="1"/>
  <c r="DE39" i="1" s="1"/>
  <c r="DE40" i="1" s="1"/>
  <c r="DE47" i="1" s="1"/>
  <c r="DD46" i="1" l="1"/>
  <c r="DD47" i="1"/>
  <c r="DE41" i="1"/>
  <c r="DE46" i="1"/>
  <c r="DD42" i="1"/>
  <c r="DH38" i="1"/>
  <c r="DG38" i="1"/>
  <c r="DF37" i="1"/>
  <c r="DI36" i="1"/>
  <c r="DR35" i="1"/>
  <c r="DD48" i="1" l="1"/>
  <c r="DH39" i="1"/>
  <c r="DH40" i="1" s="1"/>
  <c r="DG39" i="1"/>
  <c r="DG40" i="1" s="1"/>
  <c r="DF38" i="1"/>
  <c r="DI37" i="1"/>
  <c r="DE48" i="1"/>
  <c r="DE42" i="1"/>
  <c r="DR36" i="1"/>
  <c r="DR37" i="1"/>
  <c r="DH46" i="1" l="1"/>
  <c r="DH48" i="1" s="1"/>
  <c r="DH47" i="1"/>
  <c r="DG46" i="1"/>
  <c r="DG48" i="1" s="1"/>
  <c r="DG47" i="1"/>
  <c r="DH41" i="1"/>
  <c r="DG41" i="1"/>
  <c r="DF39" i="1"/>
  <c r="DF40" i="1" s="1"/>
  <c r="DE43" i="1"/>
  <c r="DI38" i="1"/>
  <c r="DO43" i="1"/>
  <c r="DO48" i="1"/>
  <c r="DF47" i="1" l="1"/>
  <c r="DI47" i="1" s="1"/>
  <c r="BK241" i="1" s="1"/>
  <c r="DI40" i="1"/>
  <c r="DF46" i="1"/>
  <c r="DI39" i="1"/>
  <c r="DH43" i="1"/>
  <c r="DH42" i="1"/>
  <c r="DG43" i="1"/>
  <c r="DG42" i="1"/>
  <c r="DF41" i="1"/>
  <c r="DF42" i="1" s="1"/>
  <c r="DP43" i="1"/>
  <c r="DP48" i="1"/>
  <c r="DO42" i="1"/>
  <c r="DQ42" i="1"/>
  <c r="DQ48" i="1"/>
  <c r="DR38" i="1"/>
  <c r="DI42" i="1" l="1"/>
  <c r="DF48" i="1"/>
  <c r="DI48" i="1" s="1"/>
  <c r="DI46" i="1"/>
  <c r="BK230" i="1" s="1"/>
  <c r="DI41" i="1"/>
  <c r="DF43" i="1"/>
  <c r="DQ43" i="1"/>
  <c r="DP42" i="1"/>
  <c r="DN42" i="1"/>
  <c r="DN48" i="1"/>
  <c r="DR39" i="1"/>
  <c r="BK239" i="1" l="1"/>
  <c r="BD218" i="1"/>
  <c r="DD43" i="1"/>
  <c r="DI43" i="1" s="1"/>
  <c r="BD212" i="1"/>
  <c r="BK212" i="1" s="1"/>
  <c r="DJ40" i="1"/>
  <c r="DJ41" i="1" s="1"/>
  <c r="DN43" i="1"/>
  <c r="DR40" i="1"/>
  <c r="AH29" i="12" l="1"/>
  <c r="AH30" i="12"/>
  <c r="BK252" i="1"/>
  <c r="BK250" i="1" s="1"/>
  <c r="BK228" i="1"/>
  <c r="AG30" i="12" s="1"/>
  <c r="DR46" i="1"/>
  <c r="DR48" i="1"/>
  <c r="BD219" i="1"/>
  <c r="BK210" i="1"/>
  <c r="BD210" i="1"/>
  <c r="BK218" i="1"/>
  <c r="AG16" i="12" s="1"/>
  <c r="DJ42" i="1"/>
  <c r="DS40" i="1"/>
  <c r="DS41" i="1" s="1"/>
  <c r="BG212" i="1"/>
  <c r="DR42" i="1"/>
  <c r="DR43" i="1"/>
  <c r="DR41" i="1"/>
  <c r="C26" i="12" l="1"/>
  <c r="AI29" i="12"/>
  <c r="AI30" i="12"/>
  <c r="BK219" i="1"/>
  <c r="AG22" i="12" s="1"/>
  <c r="AG29" i="12"/>
  <c r="C25" i="12" s="1"/>
  <c r="BO230" i="1"/>
  <c r="BG219" i="1"/>
  <c r="BO219" i="1" s="1"/>
  <c r="AH22" i="12" s="1"/>
  <c r="BG210" i="1"/>
  <c r="BO212" i="1"/>
  <c r="DS42" i="1"/>
  <c r="C27" i="12" l="1"/>
  <c r="AG17" i="12"/>
  <c r="C19" i="12" s="1"/>
  <c r="BO228" i="1"/>
  <c r="BO252" i="1"/>
  <c r="BO250" i="1" s="1"/>
  <c r="D38" i="12"/>
  <c r="BO210" i="1"/>
  <c r="D36" i="12" s="1"/>
  <c r="AI31" i="12" l="1"/>
  <c r="AG31" i="12"/>
  <c r="C22" i="12"/>
  <c r="AF7" i="12"/>
  <c r="AK17" i="12" l="1"/>
  <c r="AG12" i="12"/>
  <c r="AF6" i="12"/>
  <c r="AG11" i="12"/>
  <c r="AF10" i="12"/>
  <c r="AG9" i="12"/>
  <c r="C21" i="12" s="1"/>
  <c r="AG8" i="12"/>
  <c r="AF11" i="12"/>
  <c r="AG10" i="12"/>
  <c r="AF9" i="12"/>
  <c r="AG6" i="12"/>
  <c r="AF12" i="12"/>
  <c r="AG7" i="12"/>
  <c r="AF8" i="12"/>
  <c r="AK16" i="12" s="1"/>
  <c r="AK15"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mari-liis</author>
    <author>Karin Glader</author>
  </authors>
  <commentList>
    <comment ref="B7" authorId="0" shapeId="0" xr:uid="{15B6CD78-C471-4B3D-838B-1BCBCFB543AC}">
      <text>
        <r>
          <rPr>
            <sz val="9"/>
            <color indexed="81"/>
            <rFont val="Tahoma"/>
            <family val="2"/>
          </rPr>
          <t>Välj i rullgardinsmenyn om ansökan gäller för en ny byggnad, en befintlig byggnad  Alternativ 1  (Energirenovering) eller en befintlig byggnad Alternativ 2 (Energiklass)</t>
        </r>
      </text>
    </comment>
    <comment ref="C7" authorId="1" shapeId="0" xr:uid="{CD7D2150-63E2-45CA-BC7E-E163D9DFA915}">
      <text>
        <r>
          <rPr>
            <sz val="9"/>
            <color indexed="81"/>
            <rFont val="Tahoma"/>
            <family val="2"/>
          </rPr>
          <t>Befintlig byggnad Alternativ 1 = Kriterium 6 - Energirenovering
Befintlig byggnad Alternativ 2 = Kriterium 7 - Energiklass</t>
        </r>
      </text>
    </comment>
    <comment ref="B8" authorId="0" shapeId="0" xr:uid="{5FAE04EC-C068-4010-B32B-C103ADCF57D3}">
      <text>
        <r>
          <rPr>
            <sz val="9"/>
            <color indexed="81"/>
            <rFont val="Tahoma"/>
            <family val="2"/>
          </rPr>
          <t>information om beställare / projektansvarig</t>
        </r>
      </text>
    </comment>
    <comment ref="B9" authorId="0" shapeId="0" xr:uid="{E2349F46-61BD-46D5-9A02-24A305CEC1B8}">
      <text>
        <r>
          <rPr>
            <sz val="9"/>
            <color indexed="81"/>
            <rFont val="Tahoma"/>
            <family val="2"/>
          </rPr>
          <t xml:space="preserve">Information om vem som har fyllt i informationen </t>
        </r>
      </text>
    </comment>
    <comment ref="B10" authorId="0" shapeId="0" xr:uid="{06A14068-945D-4B47-942D-229477A6C17D}">
      <text>
        <r>
          <rPr>
            <sz val="9"/>
            <color indexed="81"/>
            <rFont val="Tahoma"/>
            <family val="2"/>
          </rPr>
          <t xml:space="preserve">datum för beräkningar
</t>
        </r>
      </text>
    </comment>
    <comment ref="B13" authorId="0" shapeId="0" xr:uid="{551F386F-8C13-4C21-81BA-490654B3F87B}">
      <text>
        <r>
          <rPr>
            <sz val="9"/>
            <color indexed="81"/>
            <rFont val="Tahoma"/>
            <family val="2"/>
          </rPr>
          <t xml:space="preserve">Ange byggnadens adress, beteckning
</t>
        </r>
      </text>
    </comment>
    <comment ref="B14" authorId="0" shapeId="0" xr:uid="{4554352F-02BE-472B-8C55-FF197990899B}">
      <text>
        <r>
          <rPr>
            <sz val="9"/>
            <color indexed="81"/>
            <rFont val="Tahoma"/>
            <family val="2"/>
          </rPr>
          <t>t.ex. 
flerbostadshus, äldreboende, studentlägenheter, kontor, skola, butik, osv</t>
        </r>
      </text>
    </comment>
    <comment ref="B15" authorId="0" shapeId="0" xr:uid="{9E76860E-B23A-461A-B668-1298A14D2451}">
      <text>
        <r>
          <rPr>
            <sz val="9"/>
            <color indexed="81"/>
            <rFont val="Tahoma"/>
            <family val="2"/>
          </rPr>
          <t>Välj klimatort för aktuella byggnaden i rullgardinsmenyn.
Under fliken Valbara orter kan du lättare se vilka orter som finns i rullgardinsmenyn.</t>
        </r>
      </text>
    </comment>
    <comment ref="B16" authorId="0" shapeId="0" xr:uid="{AAD6229C-92D5-4D84-ABF0-069B474639C2}">
      <text>
        <r>
          <rPr>
            <sz val="9"/>
            <color indexed="81"/>
            <rFont val="Tahoma"/>
            <family val="2"/>
          </rPr>
          <t>Ange tempererad golvarea för hela byggnaden, dvs. arean av samtliga våningsplan, vindsplan och källarplan för temperaturreglerade utrymmen, avsedda att värmas till mer än 10 grader, som begränsas av klimatskärmens insida. Area som upptas av innerväggar, öppningar för trappa, schakt och dylikt, inräknas. Area för garage, inom byggnaden, i bostadshus eller annan lokalbyggnad än garage, inräknas inte. Den energi som eventuellt används för att värma ett sådant garage, inräknas dock i byggnadens energianvändning.</t>
        </r>
      </text>
    </comment>
    <comment ref="B17" authorId="0" shapeId="0" xr:uid="{5ACAAFCE-873C-4CE2-AD9B-2333F7F3DC71}">
      <text>
        <r>
          <rPr>
            <sz val="9"/>
            <color indexed="81"/>
            <rFont val="Tahoma"/>
            <family val="2"/>
          </rPr>
          <t>Om byggnaden innehåller både bostäder och lokaler ange hur stor andel av byggnaden är bostäder.
I byggnader med bostäder och lokaler viktas energikraven utefter Atemp. Normalisering ska genomföras med hänsyn taget till respektive byggnadskategori.
Om det inte finns några lokaler i flerbostadshuset ska andel bostäder vara 100%.</t>
        </r>
      </text>
    </comment>
    <comment ref="B18" authorId="0" shapeId="0" xr:uid="{1902D345-F77A-4A03-83CE-CF17AC8CFF41}">
      <text>
        <r>
          <rPr>
            <sz val="9"/>
            <color indexed="81"/>
            <rFont val="Tahoma"/>
            <family val="2"/>
          </rPr>
          <t>Om byggnaden innehåller både bostäder och lokaler ange hur stor andel av byggnaden är lokaler.
I byggnader med bostäder och lokaler viktas energikraven utefter Atemp. Normalisering ska genomföras med hänsyn taget till respektive byggnadskategori.
Om det inte finns några bostäder i lokalbyggnaden ska andel lokaler vara 100%.</t>
        </r>
      </text>
    </comment>
    <comment ref="B20" authorId="0" shapeId="0" xr:uid="{0C0C836B-FB26-412A-BAE1-322C2EB4C5F4}">
      <text>
        <r>
          <rPr>
            <sz val="9"/>
            <color indexed="81"/>
            <rFont val="Tahoma"/>
            <family val="2"/>
          </rPr>
          <t>Ange om det finns äldreboende i byggnaden</t>
        </r>
      </text>
    </comment>
    <comment ref="B21" authorId="0" shapeId="0" xr:uid="{9B3E1367-508A-4CFD-B812-043D1AB470BE}">
      <text>
        <r>
          <rPr>
            <sz val="9"/>
            <color indexed="81"/>
            <rFont val="Tahoma"/>
            <family val="2"/>
          </rPr>
          <t>Ange om flerbostadhuset innehåller övervägande delen (&gt;50 % Atemp) lägenheter med en boarea om högst 35 m2 vardera?</t>
        </r>
      </text>
    </comment>
    <comment ref="B24" authorId="0" shapeId="0" xr:uid="{5BC97E60-331A-4F29-A53A-C916F0A35D8C}">
      <text>
        <r>
          <rPr>
            <sz val="9"/>
            <color indexed="81"/>
            <rFont val="Tahoma"/>
            <family val="2"/>
          </rPr>
          <t>Välg BBR version som gäller för projektet  i rullgardinsmenyn</t>
        </r>
      </text>
    </comment>
    <comment ref="B25" authorId="0" shapeId="0" xr:uid="{AD7DB48F-0D1F-4481-B365-E783A80DFAEA}">
      <text>
        <r>
          <rPr>
            <sz val="9"/>
            <color indexed="81"/>
            <rFont val="Tahoma"/>
            <family val="2"/>
          </rPr>
          <t xml:space="preserve">Geografisk justeringsfaktor visas automatiskt efter valet av klimatort
</t>
        </r>
      </text>
    </comment>
    <comment ref="B27" authorId="0" shapeId="0" xr:uid="{86A343C6-38B0-41EC-AD0D-5FF5BA0E9DFC}">
      <text>
        <r>
          <rPr>
            <sz val="9"/>
            <color indexed="81"/>
            <rFont val="Tahoma"/>
            <family val="2"/>
          </rPr>
          <t>Ange om byggnaden har en installerad eleffekt för uppvärmning och tappvarmvatten som överstiger 10 W/m2 eller inte (t.ex elvärmda byggnader)</t>
        </r>
      </text>
    </comment>
    <comment ref="B30" authorId="0" shapeId="0" xr:uid="{D2BB4136-B4E8-4EBD-8436-D7421A73DEDE}">
      <text>
        <r>
          <rPr>
            <sz val="9"/>
            <color indexed="81"/>
            <rFont val="Tahoma"/>
            <family val="2"/>
          </rPr>
          <t xml:space="preserve">Ange maximalt uteluftsflödet under uppvärmningssäsongen i temperaturreglerade utrymmen. Bara luftflödet som behövs för hygieniska skäl ska användas.
</t>
        </r>
      </text>
    </comment>
    <comment ref="B31" authorId="0" shapeId="0" xr:uid="{13F9D0E5-7095-4B55-9DC6-7906DA4331F5}">
      <text>
        <r>
          <rPr>
            <sz val="9"/>
            <color indexed="81"/>
            <rFont val="Tahoma"/>
            <family val="2"/>
          </rPr>
          <t xml:space="preserve">Ange ventilationens drifttid under en vecka under uppvärmningssäsongen </t>
        </r>
      </text>
    </comment>
    <comment ref="B40" authorId="0" shapeId="0" xr:uid="{C2A903C2-6D23-47E4-8685-77E391C61E0B}">
      <text>
        <r>
          <rPr>
            <sz val="9"/>
            <color indexed="81"/>
            <rFont val="Tahoma"/>
            <family val="2"/>
          </rPr>
          <t xml:space="preserve">Ange byggnadens bruttoarea BTA. Bruttoarea BTA är summan av alla våningsplans area och begränsas av de omslutande byggdelarnas utsida. Beräknades enligt SS 21054:2009 till och med 2020-03-17 och numera enligt SS 21054:2020.
Förenklat sätt kan BTA beräknas för flerbostadshus enligt ekvationen: Atemp = 0,9 * BTA (källa: Boverket 2007)
</t>
        </r>
      </text>
    </comment>
    <comment ref="D41" authorId="0" shapeId="0" xr:uid="{8347E904-80B7-49CB-A336-DB9D522F6F9F}">
      <text>
        <r>
          <rPr>
            <sz val="9"/>
            <color indexed="81"/>
            <rFont val="Tahoma"/>
            <family val="2"/>
          </rPr>
          <t>Ange emissionsfaktor för specifik energislag. Vid specifika emissionsfaktorer ska underlaget redovisas.</t>
        </r>
      </text>
    </comment>
    <comment ref="C42" authorId="0" shapeId="0" xr:uid="{6FEE7727-0AE6-4233-A5F3-C173682272F1}">
      <text>
        <r>
          <rPr>
            <sz val="9"/>
            <color indexed="81"/>
            <rFont val="Tahoma"/>
            <family val="2"/>
          </rPr>
          <t>Välj i rullgardinsmenyn vilket underlag används för emissionsfaktorer</t>
        </r>
      </text>
    </comment>
    <comment ref="D43" authorId="1" shapeId="0" xr:uid="{3E255A52-B654-4963-BBA4-C26DBB5687F7}">
      <text>
        <r>
          <rPr>
            <sz val="9"/>
            <color indexed="81"/>
            <rFont val="Tahoma"/>
            <family val="2"/>
          </rPr>
          <t>Svensk elmix
SGBC 2018</t>
        </r>
      </text>
    </comment>
    <comment ref="D44" authorId="1" shapeId="0" xr:uid="{E3F7A225-A0CB-42DE-8C25-542135342BD5}">
      <text>
        <r>
          <rPr>
            <sz val="9"/>
            <color indexed="81"/>
            <rFont val="Tahoma"/>
            <family val="2"/>
          </rPr>
          <t>Svensk fjärrvärmemix
SGBC 2018</t>
        </r>
      </text>
    </comment>
    <comment ref="D45" authorId="1" shapeId="0" xr:uid="{73992E16-406E-484B-ACAF-E0A5072F35DF}">
      <text>
        <r>
          <rPr>
            <sz val="9"/>
            <color indexed="81"/>
            <rFont val="Tahoma"/>
            <family val="2"/>
          </rPr>
          <t>Bioenergi
Apoxo EPD S-P-00748</t>
        </r>
      </text>
    </comment>
    <comment ref="D46" authorId="1" shapeId="0" xr:uid="{CE2B977B-9873-41F3-A9EC-5A3A78CAFF19}">
      <text>
        <r>
          <rPr>
            <sz val="9"/>
            <color indexed="81"/>
            <rFont val="Tahoma"/>
            <family val="2"/>
          </rPr>
          <t>Ökobaudat 2020</t>
        </r>
      </text>
    </comment>
    <comment ref="D47" authorId="1" shapeId="0" xr:uid="{72D1A4DF-73E9-487C-A45D-7398D1D89A0F}">
      <text>
        <r>
          <rPr>
            <sz val="9"/>
            <color indexed="81"/>
            <rFont val="Tahoma"/>
            <family val="2"/>
          </rPr>
          <t>Ökobaudat 2020</t>
        </r>
      </text>
    </comment>
    <comment ref="D48" authorId="1" shapeId="0" xr:uid="{EFD88138-A55C-4201-A24C-06F2D524DD8E}">
      <text>
        <r>
          <rPr>
            <sz val="9"/>
            <color indexed="81"/>
            <rFont val="Tahoma"/>
            <family val="2"/>
          </rPr>
          <t>Svensk fjärrkyla 
SGBC 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mari-liis</author>
    <author>mariliis</author>
  </authors>
  <commentList>
    <comment ref="BO8" authorId="0" shapeId="0" xr:uid="{F003D0AF-61EC-4B21-9689-E422D9BC2FE4}">
      <text>
        <r>
          <rPr>
            <b/>
            <sz val="9"/>
            <color indexed="81"/>
            <rFont val="Tahoma"/>
            <family val="2"/>
          </rPr>
          <t>mari-liis:</t>
        </r>
        <r>
          <rPr>
            <sz val="9"/>
            <color indexed="81"/>
            <rFont val="Tahoma"/>
            <family val="2"/>
          </rPr>
          <t xml:space="preserve">
om inget mätdata finns eller inget mätdata är inmatad eller om medeltemp är lägre än 10 grader (dvs fel inmatning) ska övertemp vara 0, dvs temp byggnad ska vara samma som viktat medel BEN så att ingen korrigering görs
</t>
        </r>
      </text>
    </comment>
    <comment ref="C14" authorId="0" shapeId="0" xr:uid="{018B7782-78E5-4120-9AF4-39B7B0725C2E}">
      <text>
        <r>
          <rPr>
            <sz val="9"/>
            <color indexed="81"/>
            <rFont val="Tahoma"/>
            <family val="2"/>
          </rPr>
          <t xml:space="preserve">Välj i rullgardinsmenyn antal olika värmekällor, dvs. värmeproduktionssystem som finns i byggnaden för uppvärmning. </t>
        </r>
      </text>
    </comment>
    <comment ref="F14" authorId="0" shapeId="0" xr:uid="{8BF552D7-9B69-4F97-9CAA-D7EA414ABE58}">
      <text>
        <r>
          <rPr>
            <sz val="9"/>
            <color indexed="81"/>
            <rFont val="Tahoma"/>
            <family val="2"/>
          </rPr>
          <t>Välj startår för mätperioden i rullgardinsmenyn.</t>
        </r>
      </text>
    </comment>
    <comment ref="I14" authorId="0" shapeId="0" xr:uid="{DD49DC89-EA5F-4084-A5A6-AE33C6A5D4F0}">
      <text>
        <r>
          <rPr>
            <sz val="9"/>
            <color indexed="81"/>
            <rFont val="Tahoma"/>
            <family val="2"/>
          </rPr>
          <t>Välj värmekälla i rullgardinsmenyn, dvs. typ av
värmeproduktionssystem som mätdata gäller för.</t>
        </r>
      </text>
    </comment>
    <comment ref="F15" authorId="0" shapeId="0" xr:uid="{57127822-D842-41AA-8EB6-7A8AE78133AE}">
      <text>
        <r>
          <rPr>
            <sz val="9"/>
            <color indexed="81"/>
            <rFont val="Tahoma"/>
            <family val="2"/>
          </rPr>
          <t>Välj startmånad för mätperioden i rullgardinsmenyn. Mätvärden ska anges för en sammanhängande 12 månaders period.</t>
        </r>
      </text>
    </comment>
    <comment ref="I15" authorId="0" shapeId="0" xr:uid="{AE2C2FB7-C608-4B75-8406-D59549E8F76B}">
      <text>
        <r>
          <rPr>
            <sz val="9"/>
            <color indexed="81"/>
            <rFont val="Tahoma"/>
            <family val="2"/>
          </rPr>
          <t xml:space="preserve">Ange årsverkningsgraden hos värmekällan för produktion av
värme. Informationen används för beräkning av levererad energi om mätdata anges som producerad energi och för normalisering av energianvändningen. </t>
        </r>
      </text>
    </comment>
    <comment ref="C16" authorId="1" shapeId="0" xr:uid="{0008FC3D-E310-4394-AE49-A73BFFDE1BD5}">
      <text>
        <r>
          <rPr>
            <sz val="9"/>
            <color indexed="81"/>
            <rFont val="Tahoma"/>
            <family val="2"/>
          </rPr>
          <t>Skriv kommentarer om mätdata i rutan nedan</t>
        </r>
      </text>
    </comment>
    <comment ref="I16" authorId="0" shapeId="0" xr:uid="{7C643BC4-6DFA-4F70-AE79-004FADED83B5}">
      <text>
        <r>
          <rPr>
            <sz val="9"/>
            <color indexed="81"/>
            <rFont val="Tahoma"/>
            <family val="2"/>
          </rPr>
          <t xml:space="preserve">Välj hur energimätare har placerats i mätsystemet. Beroende på mätarnas placering mäter de antigen hur mycket energi som produceras, eller levereras till värmekällan (så kallad köpt energi). . </t>
        </r>
      </text>
    </comment>
    <comment ref="AU17" authorId="0" shapeId="0" xr:uid="{6AF8D9D6-1082-4C35-9E01-683FA2A8709D}">
      <text>
        <r>
          <rPr>
            <b/>
            <sz val="9"/>
            <color indexed="81"/>
            <rFont val="Tahoma"/>
            <family val="2"/>
          </rPr>
          <t>mari-liis:</t>
        </r>
        <r>
          <rPr>
            <sz val="9"/>
            <color indexed="81"/>
            <rFont val="Tahoma"/>
            <family val="2"/>
          </rPr>
          <t xml:space="preserve">
ingår I uppmätt energi för uppvärmning månadsredovisning</t>
        </r>
      </text>
    </comment>
    <comment ref="AL37" authorId="0" shapeId="0" xr:uid="{66D81724-EA18-4229-B2B9-BADB464B7739}">
      <text>
        <r>
          <rPr>
            <b/>
            <sz val="9"/>
            <color indexed="81"/>
            <rFont val="Tahoma"/>
            <family val="2"/>
          </rPr>
          <t>mari-liis:</t>
        </r>
        <r>
          <rPr>
            <sz val="9"/>
            <color indexed="81"/>
            <rFont val="Tahoma"/>
            <family val="2"/>
          </rPr>
          <t xml:space="preserve">
ingår I uppmätt energi för uppvärmning årsredovisning</t>
        </r>
      </text>
    </comment>
    <comment ref="DD37" authorId="0" shapeId="0" xr:uid="{AA5DB5A7-7737-4C27-8FAC-8BCA8A312FF6}">
      <text>
        <r>
          <rPr>
            <b/>
            <sz val="9"/>
            <color indexed="81"/>
            <rFont val="Tahoma"/>
            <family val="2"/>
          </rPr>
          <t>mari-liis:</t>
        </r>
        <r>
          <rPr>
            <sz val="9"/>
            <color indexed="81"/>
            <rFont val="Tahoma"/>
            <family val="2"/>
          </rPr>
          <t xml:space="preserve">
omräknat till levererad energi med kombinerad verkningsgrad för produktion av värme och VV</t>
        </r>
      </text>
    </comment>
    <comment ref="C40" authorId="0" shapeId="0" xr:uid="{9E23F05E-8ABB-48C7-843E-E2CF438FA540}">
      <text>
        <r>
          <rPr>
            <sz val="9"/>
            <color indexed="81"/>
            <rFont val="Tahoma"/>
            <family val="2"/>
          </rPr>
          <t xml:space="preserve">Välj i rullgardinsmenyn antal olika värmekällor/ värmeproduktionssystem som finns i byggnaden för produktion av tappvarmvatten
</t>
        </r>
      </text>
    </comment>
    <comment ref="I40" authorId="0" shapeId="0" xr:uid="{5753C73C-B5D1-4949-B795-365262FAFAB4}">
      <text>
        <r>
          <rPr>
            <sz val="9"/>
            <color indexed="81"/>
            <rFont val="Tahoma"/>
            <family val="2"/>
          </rPr>
          <t>Välj värmekälla, dvs. typ av
värmeproduktionssystem som mätdata gäller för.</t>
        </r>
      </text>
    </comment>
    <comment ref="DI40" authorId="0" shapeId="0" xr:uid="{6AABB2F6-A942-4EED-BF08-149EAD2CAD1A}">
      <text>
        <r>
          <rPr>
            <b/>
            <sz val="9"/>
            <color indexed="81"/>
            <rFont val="Tahoma"/>
            <family val="2"/>
          </rPr>
          <t>mari-liis:</t>
        </r>
        <r>
          <rPr>
            <sz val="9"/>
            <color indexed="81"/>
            <rFont val="Tahoma"/>
            <family val="2"/>
          </rPr>
          <t xml:space="preserve">
normaliserads energi för uppvärmnning I årsredovisningen</t>
        </r>
      </text>
    </comment>
    <comment ref="DR40" authorId="0" shapeId="0" xr:uid="{A170D491-CBCA-42C8-A49C-EE3367DEBC08}">
      <text>
        <r>
          <rPr>
            <b/>
            <sz val="9"/>
            <color indexed="81"/>
            <rFont val="Tahoma"/>
            <family val="2"/>
          </rPr>
          <t>mari-liis:</t>
        </r>
        <r>
          <rPr>
            <sz val="9"/>
            <color indexed="81"/>
            <rFont val="Tahoma"/>
            <family val="2"/>
          </rPr>
          <t xml:space="preserve">
normaliserads energi för uppvärmnning I årsredovisningen</t>
        </r>
      </text>
    </comment>
    <comment ref="C41" authorId="0" shapeId="0" xr:uid="{BD6FC2D4-95AC-40AB-9AD8-0D0044959728}">
      <text>
        <r>
          <rPr>
            <sz val="9"/>
            <color indexed="81"/>
            <rFont val="Tahoma"/>
            <family val="2"/>
          </rPr>
          <t>I nya byggnader ska förluster för varmvattencirkulation kunna mätas separat. I äldre byggnader är det inte ovanligt att de inkluderas i uppmätt energin för uppvärmning eller uppmätt energi för tappvarmvatten. Välj i rullgardinsmenyn hur mätning i VVS-förluster sker i den specifika byggnaden.</t>
        </r>
      </text>
    </comment>
    <comment ref="I41" authorId="0" shapeId="0" xr:uid="{A8108E7E-1482-4581-9B46-38F808DF8D67}">
      <text>
        <r>
          <rPr>
            <sz val="9"/>
            <color indexed="81"/>
            <rFont val="Tahoma"/>
            <family val="2"/>
          </rPr>
          <t xml:space="preserve">Ange årsverkningsgraden hos värmekällan för produktion av tappvarmvatten. Informationen används för beräkning av levererad energi om mätdata anges som producerad energi och för normalisering av energianvändningen. </t>
        </r>
      </text>
    </comment>
    <comment ref="AU41" authorId="0" shapeId="0" xr:uid="{0CED7416-CCDD-4059-9565-70E6746E3113}">
      <text>
        <r>
          <rPr>
            <b/>
            <sz val="9"/>
            <color indexed="81"/>
            <rFont val="Tahoma"/>
            <family val="2"/>
          </rPr>
          <t>mari-liis:</t>
        </r>
        <r>
          <rPr>
            <sz val="9"/>
            <color indexed="81"/>
            <rFont val="Tahoma"/>
            <family val="2"/>
          </rPr>
          <t xml:space="preserve">
Uppmätt energi för tappvarmvatten I månadsvis redovisning</t>
        </r>
      </text>
    </comment>
    <comment ref="C42" authorId="0" shapeId="0" xr:uid="{B757D919-41E1-4D8B-A2B4-6CE42B504733}">
      <text>
        <r>
          <rPr>
            <sz val="9"/>
            <color indexed="81"/>
            <rFont val="Tahoma"/>
            <family val="2"/>
          </rPr>
          <t>Ange om det finns energieffektiva tappvarmvattenarmaturer i byggnaden. Välj "Finns" bara om merparten av tappvarmvattenarmaturer i byggnaden uppfyller energiklass A enligt SS 820000:2010 och SS 820001:2010.Välj "Finns ej" om information saknas eller om merparten av armaturer inte uppfyller energiklass A.</t>
        </r>
      </text>
    </comment>
    <comment ref="I42" authorId="0" shapeId="0" xr:uid="{D9CA0B3E-3295-47C6-BA48-DFFE835BA6F9}">
      <text>
        <r>
          <rPr>
            <sz val="9"/>
            <color indexed="81"/>
            <rFont val="Tahoma"/>
            <family val="2"/>
          </rPr>
          <t xml:space="preserve">Välj hur energimätare har placerats i mätsystemet. Beroende på mätarnas placering mäter de antigen hur mycket energi som produceras, eller levereras till värmekällan (så kallad köpt energi). </t>
        </r>
      </text>
    </comment>
    <comment ref="C44" authorId="1" shapeId="0" xr:uid="{C21220B6-76E0-4CB9-A2EB-ECDF9C76A99F}">
      <text>
        <r>
          <rPr>
            <sz val="9"/>
            <color indexed="81"/>
            <rFont val="Tahoma"/>
            <family val="2"/>
          </rPr>
          <t>Skriv kommentarer om mätdata i rutan nedan</t>
        </r>
      </text>
    </comment>
    <comment ref="BB55" authorId="0" shapeId="0" xr:uid="{1600360E-61B5-4A11-B874-F1CC0AEF3E63}">
      <text>
        <r>
          <rPr>
            <b/>
            <sz val="9"/>
            <color indexed="81"/>
            <rFont val="Tahoma"/>
            <family val="2"/>
          </rPr>
          <t>mari-liis:</t>
        </r>
        <r>
          <rPr>
            <sz val="9"/>
            <color indexed="81"/>
            <rFont val="Tahoma"/>
            <family val="2"/>
          </rPr>
          <t xml:space="preserve">
fördelning till hela byggnadens Atemp pga viktning av norm värde</t>
        </r>
      </text>
    </comment>
    <comment ref="BK55" authorId="0" shapeId="0" xr:uid="{74D695EE-F734-4157-A7B6-1B1CAB70AEFD}">
      <text>
        <r>
          <rPr>
            <b/>
            <sz val="9"/>
            <color indexed="81"/>
            <rFont val="Tahoma"/>
            <family val="2"/>
          </rPr>
          <t>mari-liis:</t>
        </r>
        <r>
          <rPr>
            <sz val="9"/>
            <color indexed="81"/>
            <rFont val="Tahoma"/>
            <family val="2"/>
          </rPr>
          <t xml:space="preserve">
fördelning till hela byggnadens Atemp pga viktning av norm värde</t>
        </r>
      </text>
    </comment>
    <comment ref="BG59" authorId="0" shapeId="0" xr:uid="{1E4A613D-6783-4E47-A279-6C815E9086E3}">
      <text>
        <r>
          <rPr>
            <b/>
            <sz val="9"/>
            <color indexed="81"/>
            <rFont val="Tahoma"/>
            <family val="2"/>
          </rPr>
          <t>mari-liis:</t>
        </r>
        <r>
          <rPr>
            <sz val="9"/>
            <color indexed="81"/>
            <rFont val="Tahoma"/>
            <family val="2"/>
          </rPr>
          <t xml:space="preserve">
normaliserad energi för tappvarmvatten I årsredovisningen</t>
        </r>
      </text>
    </comment>
    <comment ref="BP59" authorId="0" shapeId="0" xr:uid="{046C2D8E-A0AF-446C-9EFC-A0CA90B17A77}">
      <text>
        <r>
          <rPr>
            <b/>
            <sz val="9"/>
            <color indexed="81"/>
            <rFont val="Tahoma"/>
            <family val="2"/>
          </rPr>
          <t>mari-liis:</t>
        </r>
        <r>
          <rPr>
            <sz val="9"/>
            <color indexed="81"/>
            <rFont val="Tahoma"/>
            <family val="2"/>
          </rPr>
          <t xml:space="preserve">
normaliserad energi för tappvarmvatten I årsredovisningen</t>
        </r>
      </text>
    </comment>
    <comment ref="AL62" authorId="0" shapeId="0" xr:uid="{69E735D1-5805-4785-B1A3-32493B5FBD5E}">
      <text>
        <r>
          <rPr>
            <b/>
            <sz val="9"/>
            <color indexed="81"/>
            <rFont val="Tahoma"/>
            <family val="2"/>
          </rPr>
          <t>mari-liis:</t>
        </r>
        <r>
          <rPr>
            <sz val="9"/>
            <color indexed="81"/>
            <rFont val="Tahoma"/>
            <family val="2"/>
          </rPr>
          <t xml:space="preserve">
Uppmätt energi för tappvarmvatten I årsredovisning</t>
        </r>
      </text>
    </comment>
    <comment ref="C80" authorId="0" shapeId="0" xr:uid="{31BBC82C-43EB-4947-BEE8-90D389BB3473}">
      <text>
        <r>
          <rPr>
            <sz val="9"/>
            <color indexed="81"/>
            <rFont val="Tahoma"/>
            <family val="2"/>
          </rPr>
          <t xml:space="preserve">Välj antal olika energiproduktionssystem som finns i byggnaden för komfortkyla. </t>
        </r>
      </text>
    </comment>
    <comment ref="I80" authorId="0" shapeId="0" xr:uid="{FF8145C7-E57F-4031-9DF3-2F6315696332}">
      <text>
        <r>
          <rPr>
            <sz val="9"/>
            <color indexed="81"/>
            <rFont val="Tahoma"/>
            <family val="2"/>
          </rPr>
          <t>Välj typ av
energiproduktionssystem som mätdata gäller för.</t>
        </r>
      </text>
    </comment>
    <comment ref="I81" authorId="0" shapeId="0" xr:uid="{4271D84F-5368-49C9-8A65-B2CEE7B35AD4}">
      <text>
        <r>
          <rPr>
            <sz val="9"/>
            <color indexed="81"/>
            <rFont val="Tahoma"/>
            <family val="2"/>
          </rPr>
          <t xml:space="preserve">Ange årsverkningsgraden för produktion av komfortkyla.  Informationen används för beräkning av levererad energi om mätdata anges som producerad energi. </t>
        </r>
      </text>
    </comment>
    <comment ref="AF81" authorId="0" shapeId="0" xr:uid="{E496102B-7956-4F9A-A460-88CB05C8F7AB}">
      <text>
        <r>
          <rPr>
            <b/>
            <sz val="9"/>
            <color indexed="81"/>
            <rFont val="Tahoma"/>
            <family val="2"/>
          </rPr>
          <t>mari-liis:</t>
        </r>
        <r>
          <rPr>
            <sz val="9"/>
            <color indexed="81"/>
            <rFont val="Tahoma"/>
            <family val="2"/>
          </rPr>
          <t xml:space="preserve">
ingår I uppmätt energi för komfortkyla I månadsredovisning</t>
        </r>
      </text>
    </comment>
    <comment ref="C82" authorId="1" shapeId="0" xr:uid="{D648F535-D7B3-4D31-89F4-A4C45B5A50C5}">
      <text>
        <r>
          <rPr>
            <sz val="9"/>
            <color indexed="81"/>
            <rFont val="Tahoma"/>
            <family val="2"/>
          </rPr>
          <t>Skriv kommentarer om mätdata i rutan nedan</t>
        </r>
      </text>
    </comment>
    <comment ref="I82" authorId="0" shapeId="0" xr:uid="{1381F166-5BE8-4ED0-BD9A-83D5F40BDB7C}">
      <text>
        <r>
          <rPr>
            <sz val="9"/>
            <color indexed="81"/>
            <rFont val="Tahoma"/>
            <family val="2"/>
          </rPr>
          <t xml:space="preserve">Välj hur energimätare har placerats i mätsystemet. Beroende på mätarnas placering mäter de antigen hur mycket energi som produceras, eller levereras till produktionssystemet (så kallad köpt energi). </t>
        </r>
      </text>
    </comment>
    <comment ref="BN91" authorId="0" shapeId="0" xr:uid="{449EA416-335B-405C-8FBA-0092BD596157}">
      <text>
        <r>
          <rPr>
            <b/>
            <sz val="9"/>
            <color indexed="81"/>
            <rFont val="Tahoma"/>
            <family val="2"/>
          </rPr>
          <t>mari-liis:</t>
        </r>
        <r>
          <rPr>
            <sz val="9"/>
            <color indexed="81"/>
            <rFont val="Tahoma"/>
            <family val="2"/>
          </rPr>
          <t xml:space="preserve">
normaliserad energi för komfortkyla I årsredovisningen</t>
        </r>
      </text>
    </comment>
    <comment ref="BD92" authorId="0" shapeId="0" xr:uid="{5EA8E6D5-C134-465B-B138-4AEE918D903E}">
      <text>
        <r>
          <rPr>
            <b/>
            <sz val="9"/>
            <color indexed="81"/>
            <rFont val="Tahoma"/>
            <family val="2"/>
          </rPr>
          <t>mari-liis:</t>
        </r>
        <r>
          <rPr>
            <sz val="9"/>
            <color indexed="81"/>
            <rFont val="Tahoma"/>
            <family val="2"/>
          </rPr>
          <t xml:space="preserve">
normaliserad energi för komfortkyla I årsredovisningen</t>
        </r>
      </text>
    </comment>
    <comment ref="AA95" authorId="0" shapeId="0" xr:uid="{E7A82C56-1892-4093-8A64-5F6EB01AEDD6}">
      <text>
        <r>
          <rPr>
            <b/>
            <sz val="9"/>
            <color indexed="81"/>
            <rFont val="Tahoma"/>
            <family val="2"/>
          </rPr>
          <t>mari-liis:</t>
        </r>
        <r>
          <rPr>
            <sz val="9"/>
            <color indexed="81"/>
            <rFont val="Tahoma"/>
            <family val="2"/>
          </rPr>
          <t xml:space="preserve">
ingår I uppmätt energi för komfortkyla I årsredovisning</t>
        </r>
      </text>
    </comment>
    <comment ref="C103" authorId="0" shapeId="0" xr:uid="{711B4068-2FCB-497F-9AD5-EA8F31EBCB10}">
      <text>
        <r>
          <rPr>
            <sz val="9"/>
            <color indexed="81"/>
            <rFont val="Tahoma"/>
            <family val="2"/>
          </rPr>
          <t xml:space="preserve">Välj antal energiproduktionssystem som finns i byggnaden för fastighetsenergi. </t>
        </r>
      </text>
    </comment>
    <comment ref="I103" authorId="0" shapeId="0" xr:uid="{EB670B3A-7AA5-4704-A8AF-EFAA88809E48}">
      <text>
        <r>
          <rPr>
            <sz val="9"/>
            <color indexed="81"/>
            <rFont val="Tahoma"/>
            <family val="2"/>
          </rPr>
          <t xml:space="preserve">Välj energibärare för fastighetsenergi i rullgardinsmenyn  </t>
        </r>
      </text>
    </comment>
    <comment ref="AO103" authorId="0" shapeId="0" xr:uid="{A11A1D7A-3DC3-4864-905B-04413298672A}">
      <text>
        <r>
          <rPr>
            <b/>
            <sz val="9"/>
            <color indexed="81"/>
            <rFont val="Tahoma"/>
            <family val="2"/>
          </rPr>
          <t>mari-liis:</t>
        </r>
        <r>
          <rPr>
            <sz val="9"/>
            <color indexed="81"/>
            <rFont val="Tahoma"/>
            <family val="2"/>
          </rPr>
          <t xml:space="preserve">
ingår I uppmätt energi för uppvärmning I månadsredovisning</t>
        </r>
      </text>
    </comment>
    <comment ref="I104" authorId="0" shapeId="0" xr:uid="{2B698BCA-456B-4F72-A95A-0BE6B7F4EB98}">
      <text>
        <r>
          <rPr>
            <sz val="9"/>
            <color indexed="81"/>
            <rFont val="Tahoma"/>
            <family val="2"/>
          </rPr>
          <t>Välj om mätningen gäller för fastighetsenergi eller  elgolvvärme i badrum (om finns och mäts separat)</t>
        </r>
      </text>
    </comment>
    <comment ref="C105" authorId="0" shapeId="0" xr:uid="{1CF2FD32-7B3B-47BD-9C17-2ACE43AEDB41}">
      <text>
        <r>
          <rPr>
            <sz val="9"/>
            <color indexed="81"/>
            <rFont val="Tahoma"/>
            <family val="2"/>
          </rPr>
          <t xml:space="preserve">Ange om det finns komfortgolvvärme med el i badrum. 
</t>
        </r>
      </text>
    </comment>
    <comment ref="AJ105" authorId="0" shapeId="0" xr:uid="{71CEA509-8D3C-466E-A76A-59B5E71528F0}">
      <text>
        <r>
          <rPr>
            <b/>
            <sz val="9"/>
            <color indexed="81"/>
            <rFont val="Tahoma"/>
            <family val="2"/>
          </rPr>
          <t>mari-liis:</t>
        </r>
        <r>
          <rPr>
            <sz val="9"/>
            <color indexed="81"/>
            <rFont val="Tahoma"/>
            <family val="2"/>
          </rPr>
          <t xml:space="preserve">
ingår I uppmätt energi för fastighetsenergi I månadsredovisning</t>
        </r>
      </text>
    </comment>
    <comment ref="C107" authorId="0" shapeId="0" xr:uid="{15AF9A0F-EE3E-4E6E-8981-829E917A008F}">
      <text>
        <r>
          <rPr>
            <sz val="9"/>
            <color indexed="81"/>
            <rFont val="Tahoma"/>
            <family val="2"/>
          </rPr>
          <t xml:space="preserve">Ange hur energi till elgolvvärme mäts i byggnaden. Uppmätt energi för elvärmda badrumsgolv ska  adderas till  energi för uppvärmning vid normalisering av energianvändningen.
</t>
        </r>
      </text>
    </comment>
    <comment ref="C109" authorId="0" shapeId="0" xr:uid="{AE7CD46A-53CD-4C2A-B08B-E685614B53EC}">
      <text>
        <r>
          <rPr>
            <sz val="9"/>
            <color indexed="81"/>
            <rFont val="Tahoma"/>
            <family val="2"/>
          </rPr>
          <t>Ange antal badrum där elgolvvärme är installerad</t>
        </r>
      </text>
    </comment>
    <comment ref="C112" authorId="1" shapeId="0" xr:uid="{2C11B2D5-6E6D-482B-B7DA-74AEF646453F}">
      <text>
        <r>
          <rPr>
            <sz val="9"/>
            <color indexed="81"/>
            <rFont val="Tahoma"/>
            <family val="2"/>
          </rPr>
          <t>Skriv kommentarer om mätdata i rutan nedan</t>
        </r>
      </text>
    </comment>
    <comment ref="AJ117" authorId="0" shapeId="0" xr:uid="{B912AFB6-6A2F-4D68-991B-B9D1FB0F98FF}">
      <text>
        <r>
          <rPr>
            <b/>
            <sz val="9"/>
            <color indexed="81"/>
            <rFont val="Tahoma"/>
            <family val="2"/>
          </rPr>
          <t>mari-liis:</t>
        </r>
        <r>
          <rPr>
            <sz val="9"/>
            <color indexed="81"/>
            <rFont val="Tahoma"/>
            <family val="2"/>
          </rPr>
          <t xml:space="preserve">
ingår I uppmätt energi för fastighetsenergi I årsredovisningen</t>
        </r>
      </text>
    </comment>
    <comment ref="AO117" authorId="0" shapeId="0" xr:uid="{C9F8ED40-3645-4E4B-8EC3-B8487D8C5AD9}">
      <text>
        <r>
          <rPr>
            <b/>
            <sz val="9"/>
            <color indexed="81"/>
            <rFont val="Tahoma"/>
            <family val="2"/>
          </rPr>
          <t>mari-liis:</t>
        </r>
        <r>
          <rPr>
            <sz val="9"/>
            <color indexed="81"/>
            <rFont val="Tahoma"/>
            <family val="2"/>
          </rPr>
          <t xml:space="preserve">
ingår I uppmätt energi för uppvärmning I årsredovisningen</t>
        </r>
      </text>
    </comment>
    <comment ref="BE122" authorId="0" shapeId="0" xr:uid="{1990171F-FEDE-487A-BD28-913108B2A6E0}">
      <text>
        <r>
          <rPr>
            <b/>
            <sz val="9"/>
            <color indexed="81"/>
            <rFont val="Tahoma"/>
            <family val="2"/>
          </rPr>
          <t>mari-liis:</t>
        </r>
        <r>
          <rPr>
            <sz val="9"/>
            <color indexed="81"/>
            <rFont val="Tahoma"/>
            <family val="2"/>
          </rPr>
          <t xml:space="preserve">
normaliserad energi för fastighetsenergi I årsredovisningen</t>
        </r>
      </text>
    </comment>
    <comment ref="BO122" authorId="0" shapeId="0" xr:uid="{0351179A-9852-42C7-BD42-D30045D3CAC9}">
      <text>
        <r>
          <rPr>
            <b/>
            <sz val="9"/>
            <color indexed="81"/>
            <rFont val="Tahoma"/>
            <family val="2"/>
          </rPr>
          <t>mari-liis:</t>
        </r>
        <r>
          <rPr>
            <sz val="9"/>
            <color indexed="81"/>
            <rFont val="Tahoma"/>
            <family val="2"/>
          </rPr>
          <t xml:space="preserve">
normaliserad energi för fastighetsenergi I årsredovisningen</t>
        </r>
      </text>
    </comment>
    <comment ref="C129" authorId="0" shapeId="0" xr:uid="{2E169764-749C-43A4-A4B2-8FBA8A6E4808}">
      <text>
        <r>
          <rPr>
            <sz val="9"/>
            <color indexed="81"/>
            <rFont val="Tahoma"/>
            <family val="2"/>
          </rPr>
          <t xml:space="preserve">Välj antal olika system som finns i byggnaden för egenproducerad och/eller återvunnen energi. </t>
        </r>
      </text>
    </comment>
    <comment ref="I129" authorId="0" shapeId="0" xr:uid="{155446A9-8D1C-4299-8A38-63331A855785}">
      <text>
        <r>
          <rPr>
            <sz val="9"/>
            <color indexed="81"/>
            <rFont val="Tahoma"/>
            <family val="2"/>
          </rPr>
          <t>Välj typ av
energiproduktionssystem eller återvunnen energi som mätdata gäller för</t>
        </r>
      </text>
    </comment>
    <comment ref="I130" authorId="0" shapeId="0" xr:uid="{94A285E2-5D54-4B0C-8131-907FCCF82583}">
      <text>
        <r>
          <rPr>
            <sz val="9"/>
            <color indexed="81"/>
            <rFont val="Tahoma"/>
            <family val="2"/>
          </rPr>
          <t xml:space="preserve">Välj för vilken energipost egenproducerad eller återvunnen energi kan tillgodoräknas </t>
        </r>
      </text>
    </comment>
    <comment ref="C131" authorId="1" shapeId="0" xr:uid="{602006C6-419A-47FB-BE9B-DCED493F3CBB}">
      <text>
        <r>
          <rPr>
            <sz val="9"/>
            <color indexed="81"/>
            <rFont val="Tahoma"/>
            <family val="2"/>
          </rPr>
          <t>Skriv kommentarer om mätdata i rutan nedan</t>
        </r>
      </text>
    </comment>
    <comment ref="I131" authorId="0" shapeId="0" xr:uid="{42E89B3D-9A53-4252-8A4A-0E7BC6A41923}">
      <text>
        <r>
          <rPr>
            <sz val="9"/>
            <color indexed="81"/>
            <rFont val="Tahoma"/>
            <family val="2"/>
          </rPr>
          <t>Välj var energimätaren för tillgodogjord egenproducerad energi installerats i förhållande till övriga energimätare för mätning av olika energiposter. Mer om detta i informationstexten vid sidan om.</t>
        </r>
      </text>
    </comment>
    <comment ref="C154" authorId="0" shapeId="0" xr:uid="{D25BF351-D5F2-4D59-924D-892B3C99F16F}">
      <text>
        <r>
          <rPr>
            <sz val="9"/>
            <color indexed="81"/>
            <rFont val="Tahoma"/>
            <family val="2"/>
          </rPr>
          <t>Ange om det finns tillgänglig mätdata för hushållsenergi alt. verksamhetsenergi</t>
        </r>
      </text>
    </comment>
    <comment ref="I154" authorId="0" shapeId="0" xr:uid="{70B65B26-F9E0-45D2-984B-43840BEFA7D2}">
      <text>
        <r>
          <rPr>
            <sz val="9"/>
            <color indexed="81"/>
            <rFont val="Tahoma"/>
            <family val="2"/>
          </rPr>
          <t>Välj energibärare för verksamhetsenergi eller hushållsenergi</t>
        </r>
      </text>
    </comment>
    <comment ref="I155" authorId="0" shapeId="0" xr:uid="{6D09F8E8-01C9-43DC-8DC0-BBEE34209382}">
      <text>
        <r>
          <rPr>
            <sz val="9"/>
            <color indexed="81"/>
            <rFont val="Tahoma"/>
            <family val="2"/>
          </rPr>
          <t>Ange om mätningen gäller för hushållsenergi eller verksamhetsenergi</t>
        </r>
      </text>
    </comment>
    <comment ref="C156" authorId="0" shapeId="0" xr:uid="{19F7BA3C-3688-4B57-A78B-6D28EB70ED85}">
      <text>
        <r>
          <rPr>
            <sz val="9"/>
            <color indexed="81"/>
            <rFont val="Tahoma"/>
            <family val="2"/>
          </rPr>
          <t xml:space="preserve">Välj antal olika energiproduktionssystem som finns i byggnaden för verksamhetsenergi eller hushållsenergi
</t>
        </r>
      </text>
    </comment>
    <comment ref="C158" authorId="1" shapeId="0" xr:uid="{21AB1346-668F-4687-BDF6-E91D64359280}">
      <text>
        <r>
          <rPr>
            <sz val="9"/>
            <color indexed="81"/>
            <rFont val="Tahoma"/>
            <family val="2"/>
          </rPr>
          <t>Skriv kommentarer om mätdata i rutan nedan</t>
        </r>
      </text>
    </comment>
    <comment ref="AB164" authorId="0" shapeId="0" xr:uid="{B99D20C0-A832-4D05-99EC-FEE620C89539}">
      <text>
        <r>
          <rPr>
            <b/>
            <sz val="9"/>
            <color indexed="81"/>
            <rFont val="Tahoma"/>
            <family val="2"/>
          </rPr>
          <t>mari-liis:</t>
        </r>
        <r>
          <rPr>
            <sz val="9"/>
            <color indexed="81"/>
            <rFont val="Tahoma"/>
            <family val="2"/>
          </rPr>
          <t xml:space="preserve">
ingår I sammanställning på resultatsida</t>
        </r>
      </text>
    </comment>
    <comment ref="AB165" authorId="0" shapeId="0" xr:uid="{284133EF-DC50-453E-A6B1-73A3098B06C3}">
      <text>
        <r>
          <rPr>
            <b/>
            <sz val="9"/>
            <color indexed="81"/>
            <rFont val="Tahoma"/>
            <family val="2"/>
          </rPr>
          <t>mari-liis:</t>
        </r>
        <r>
          <rPr>
            <sz val="9"/>
            <color indexed="81"/>
            <rFont val="Tahoma"/>
            <family val="2"/>
          </rPr>
          <t xml:space="preserve">
ingår I sammanställning på resultatsida</t>
        </r>
      </text>
    </comment>
    <comment ref="BD166" authorId="0" shapeId="0" xr:uid="{456B8277-DD90-400F-B743-B47B20533EF5}">
      <text>
        <r>
          <rPr>
            <b/>
            <sz val="9"/>
            <color indexed="81"/>
            <rFont val="Tahoma"/>
            <family val="2"/>
          </rPr>
          <t>mari-liis:</t>
        </r>
        <r>
          <rPr>
            <sz val="9"/>
            <color indexed="81"/>
            <rFont val="Tahoma"/>
            <family val="2"/>
          </rPr>
          <t xml:space="preserve">
ingår I sammanställning på resultatsida</t>
        </r>
      </text>
    </comment>
    <comment ref="C177" authorId="0" shapeId="0" xr:uid="{B58B2877-09B6-4254-82CF-185296F6B741}">
      <text>
        <r>
          <rPr>
            <sz val="9"/>
            <color indexed="81"/>
            <rFont val="Tahoma"/>
            <family val="2"/>
          </rPr>
          <t xml:space="preserve">Ange om det finns tillgänglig mätdata för inomhustemperaturer under uppvärmningssäsongen. För normalisering av mätvärden enligt Boverkets föreskrifter BEN behöver även representativa inomhustemperaturer mätas under uppvärmningssäsongen. Temperaturmätningar i verksamhetsutrymmen eller lägenheter ska representera minst 20 % av den tempererade golvarean (Atemp) och mätas med minst en givare per våningsplan. För lokalbyggnader finns alternativet att temperaturmätning istället utgörs av en kombination av temperaturmätning i frånluft under drifttid och några representativa temperaturgivare i verksamhetsutrymmen under övrig tid. 
</t>
        </r>
      </text>
    </comment>
    <comment ref="F177" authorId="1" shapeId="0" xr:uid="{558C72B1-8D51-4B76-BB38-9D3617B3F148}">
      <text>
        <r>
          <rPr>
            <sz val="9"/>
            <color indexed="81"/>
            <rFont val="Tahoma"/>
            <family val="2"/>
          </rPr>
          <t>Skriv kommentarer om mätdata i rutan nedan</t>
        </r>
      </text>
    </comment>
    <comment ref="C179" authorId="0" shapeId="0" xr:uid="{7EDC7EA2-F555-48FC-AAAA-5386977AB395}">
      <text>
        <r>
          <rPr>
            <sz val="9"/>
            <color indexed="81"/>
            <rFont val="Tahoma"/>
            <family val="2"/>
          </rPr>
          <t xml:space="preserve">Välj i rullgardinsmenyn startmånad för uppvärmningssäsongen.
Uppvärmningssäsongens start och slut ska anges även om separat mätdata för uppmätta inomhustemperaturer inte finns. Informationen behövs  för normalisering av energianvändning på grund av avvikelser i internlaster. 
</t>
        </r>
      </text>
    </comment>
    <comment ref="C180" authorId="0" shapeId="0" xr:uid="{7F1C8EF1-6753-49E5-8F97-B8C3DAA03703}">
      <text>
        <r>
          <rPr>
            <sz val="9"/>
            <color indexed="81"/>
            <rFont val="Tahoma"/>
            <family val="2"/>
          </rPr>
          <t xml:space="preserve">Välj i rullgardinsmenyn slutmånad för uppvärmningssäsongen,
Uppvärmningssäsongens start och slut ska anges även om separat mätdata för uppmätta inomhustemperaturer inte finns. Informationen behövs  för normalisering av energianvändning på grund av avvikelser i internlaster. </t>
        </r>
      </text>
    </comment>
    <comment ref="C182" authorId="0" shapeId="0" xr:uid="{D559A373-AFD0-46CE-AD4B-04D4EEE3715C}">
      <text>
        <r>
          <rPr>
            <sz val="9"/>
            <color indexed="81"/>
            <rFont val="Tahoma"/>
            <family val="2"/>
          </rPr>
          <t>Ange vilken byggnadsdel/ verksamhetsutrymme som mätvärdet gäller för</t>
        </r>
      </text>
    </comment>
    <comment ref="C183" authorId="0" shapeId="0" xr:uid="{E3FEDDC4-B440-49BF-9D56-58862D2B51C2}">
      <text>
        <r>
          <rPr>
            <sz val="9"/>
            <color indexed="81"/>
            <rFont val="Tahoma"/>
            <family val="2"/>
          </rPr>
          <t>Ange areaandel av Atemp som mätvärdet gäller för</t>
        </r>
      </text>
    </comment>
    <comment ref="C184" authorId="0" shapeId="0" xr:uid="{436269D5-78E3-4B05-AA17-C08E41901566}">
      <text>
        <r>
          <rPr>
            <sz val="9"/>
            <color indexed="81"/>
            <rFont val="Tahoma"/>
            <family val="2"/>
          </rPr>
          <t xml:space="preserve">Ange uppmätt genomsnittlig inomhustemperatur under uppvärmningssäsongen </t>
        </r>
      </text>
    </comment>
    <comment ref="C186" authorId="0" shapeId="0" xr:uid="{436169AC-A7DE-41E1-9D65-C6DC5D942E68}">
      <text>
        <r>
          <rPr>
            <sz val="9"/>
            <color indexed="81"/>
            <rFont val="Tahoma"/>
            <family val="2"/>
          </rPr>
          <t>Ange vilken byggnadsdel/ verksamhetsutrymme som mätvärdet gäller för</t>
        </r>
      </text>
    </comment>
    <comment ref="C187" authorId="0" shapeId="0" xr:uid="{259605CA-1C1B-4D97-BD9C-89E89D2D65D2}">
      <text>
        <r>
          <rPr>
            <sz val="9"/>
            <color indexed="81"/>
            <rFont val="Tahoma"/>
            <family val="2"/>
          </rPr>
          <t>Ange areaandel av Atemp som mätvärdet gäller för</t>
        </r>
      </text>
    </comment>
    <comment ref="C188" authorId="0" shapeId="0" xr:uid="{A656E5EC-C0C2-4389-9DA1-6407EA727D2F}">
      <text>
        <r>
          <rPr>
            <sz val="9"/>
            <color indexed="81"/>
            <rFont val="Tahoma"/>
            <family val="2"/>
          </rPr>
          <t xml:space="preserve">Ange uppmätt genomsnittlig inomhustemperatur under uppvärmningssäsongen </t>
        </r>
      </text>
    </comment>
    <comment ref="C190" authorId="0" shapeId="0" xr:uid="{A2EA95E5-EA56-4012-83BB-9F344454E202}">
      <text>
        <r>
          <rPr>
            <sz val="9"/>
            <color indexed="81"/>
            <rFont val="Tahoma"/>
            <family val="2"/>
          </rPr>
          <t>Ange vilken byggnadsdel/ verksamhetsutrymme som mätvärdet gäller för</t>
        </r>
      </text>
    </comment>
    <comment ref="C191" authorId="0" shapeId="0" xr:uid="{F9F35A34-4DC3-4D46-B032-6A07ED99567A}">
      <text>
        <r>
          <rPr>
            <sz val="9"/>
            <color indexed="81"/>
            <rFont val="Tahoma"/>
            <family val="2"/>
          </rPr>
          <t>Ange areaandel av Atemp som mätvärdet gäller för</t>
        </r>
      </text>
    </comment>
    <comment ref="C192" authorId="0" shapeId="0" xr:uid="{537917CC-A465-428A-B31D-C682FEB2A325}">
      <text>
        <r>
          <rPr>
            <sz val="9"/>
            <color indexed="81"/>
            <rFont val="Tahoma"/>
            <family val="2"/>
          </rPr>
          <t xml:space="preserve">Ange uppmätt genomsnittlig inomhustemperatur under uppvärmningssäsongen </t>
        </r>
      </text>
    </comment>
    <comment ref="C198" authorId="0" shapeId="0" xr:uid="{4B0BBB01-93CC-496A-BE9C-6B89E9733175}">
      <text>
        <r>
          <rPr>
            <sz val="9"/>
            <color indexed="81"/>
            <rFont val="Tahoma"/>
            <family val="2"/>
          </rPr>
          <t xml:space="preserve">Normal inomhustemperatur enligt GreenBuilding krav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mari-liis</author>
    <author>mariliis</author>
  </authors>
  <commentList>
    <comment ref="BO8" authorId="0" shapeId="0" xr:uid="{06CB77AE-93EB-471C-BEA4-ECE58FC20A59}">
      <text>
        <r>
          <rPr>
            <b/>
            <sz val="9"/>
            <color indexed="81"/>
            <rFont val="Tahoma"/>
            <family val="2"/>
          </rPr>
          <t>mari-liis:</t>
        </r>
        <r>
          <rPr>
            <sz val="9"/>
            <color indexed="81"/>
            <rFont val="Tahoma"/>
            <family val="2"/>
          </rPr>
          <t xml:space="preserve">
om inget mätdata finns eller inget mätdata är inmatad eller om medeltemp är lägre än 10 grader (dvs fel inmatning) ska övertemp vara 0, dvs temp byggnad ska vara samma som viktat medel BEN så att ingen korrigering görs
</t>
        </r>
      </text>
    </comment>
    <comment ref="C14" authorId="0" shapeId="0" xr:uid="{E8608F5A-2740-46B0-BE26-EB88C9D65D39}">
      <text>
        <r>
          <rPr>
            <sz val="9"/>
            <color indexed="81"/>
            <rFont val="Tahoma"/>
            <family val="2"/>
          </rPr>
          <t xml:space="preserve">Välj i rullgardinsmenyn antal olika värmekällor, dvs. värmeproduktionssystem som finns i byggnaden för uppvärmning. </t>
        </r>
      </text>
    </comment>
    <comment ref="F14" authorId="0" shapeId="0" xr:uid="{51A7F3AB-0972-49B6-B4F5-98F1C5C55461}">
      <text>
        <r>
          <rPr>
            <sz val="9"/>
            <color indexed="81"/>
            <rFont val="Tahoma"/>
            <family val="2"/>
          </rPr>
          <t>Välj startår för mätperioden i rullgardinsmenyn.</t>
        </r>
      </text>
    </comment>
    <comment ref="I14" authorId="0" shapeId="0" xr:uid="{ED48F3D3-1659-4BB5-8D62-5524E351F428}">
      <text>
        <r>
          <rPr>
            <sz val="9"/>
            <color indexed="81"/>
            <rFont val="Tahoma"/>
            <family val="2"/>
          </rPr>
          <t>Välj värmekälla i rullgardinsmenyn, dvs. typ av
värmeproduktionssystem som mätdata gäller för.</t>
        </r>
      </text>
    </comment>
    <comment ref="F15" authorId="0" shapeId="0" xr:uid="{FF80C171-3ABC-43EA-B1BE-1476C7EF431A}">
      <text>
        <r>
          <rPr>
            <sz val="9"/>
            <color indexed="81"/>
            <rFont val="Tahoma"/>
            <family val="2"/>
          </rPr>
          <t>Välj startmånad för mätperioden i rullgardinsmenyn. Mätvärden ska anges för en sammanhängande 12 månaders period.</t>
        </r>
      </text>
    </comment>
    <comment ref="I15" authorId="0" shapeId="0" xr:uid="{62760A48-3770-4D9F-8BF2-B16BC4547DBB}">
      <text>
        <r>
          <rPr>
            <sz val="9"/>
            <color indexed="81"/>
            <rFont val="Tahoma"/>
            <family val="2"/>
          </rPr>
          <t xml:space="preserve">Ange årsverkningsgraden hos värmekällan för produktion av
värme. Informationen används för beräkning av levererad energi om mätdata anges som producerad energi och för normalisering av energianvändningen. </t>
        </r>
      </text>
    </comment>
    <comment ref="C16" authorId="1" shapeId="0" xr:uid="{7D1624CA-F67E-45DA-9D76-8B2B6A85E2D9}">
      <text>
        <r>
          <rPr>
            <b/>
            <sz val="9"/>
            <color indexed="81"/>
            <rFont val="Tahoma"/>
            <family val="2"/>
          </rPr>
          <t>mariliis:</t>
        </r>
        <r>
          <rPr>
            <sz val="9"/>
            <color indexed="81"/>
            <rFont val="Tahoma"/>
            <family val="2"/>
          </rPr>
          <t xml:space="preserve">
</t>
        </r>
      </text>
    </comment>
    <comment ref="I16" authorId="0" shapeId="0" xr:uid="{A5C84AC9-9C45-45DD-A25D-C2166BBF2882}">
      <text>
        <r>
          <rPr>
            <sz val="9"/>
            <color indexed="81"/>
            <rFont val="Tahoma"/>
            <family val="2"/>
          </rPr>
          <t xml:space="preserve">Välj hur energimätare har placerats i mätsystemet. Beroende på mätarnas placering mäter de antigen hur mycket energi som produceras, eller levereras till värmekällan (så kallad köpt energi). . </t>
        </r>
      </text>
    </comment>
    <comment ref="AU17" authorId="0" shapeId="0" xr:uid="{A6E30F07-0BD7-41B7-B1F2-5E42601B1618}">
      <text>
        <r>
          <rPr>
            <b/>
            <sz val="9"/>
            <color indexed="81"/>
            <rFont val="Tahoma"/>
            <family val="2"/>
          </rPr>
          <t>mari-liis:</t>
        </r>
        <r>
          <rPr>
            <sz val="9"/>
            <color indexed="81"/>
            <rFont val="Tahoma"/>
            <family val="2"/>
          </rPr>
          <t xml:space="preserve">
ingår I uppmätt energi för uppvärmning månadsredovisning</t>
        </r>
      </text>
    </comment>
    <comment ref="AL37" authorId="0" shapeId="0" xr:uid="{A46C1585-D0DF-45DD-A518-1F8227A496B4}">
      <text>
        <r>
          <rPr>
            <b/>
            <sz val="9"/>
            <color indexed="81"/>
            <rFont val="Tahoma"/>
            <family val="2"/>
          </rPr>
          <t>mari-liis:</t>
        </r>
        <r>
          <rPr>
            <sz val="9"/>
            <color indexed="81"/>
            <rFont val="Tahoma"/>
            <family val="2"/>
          </rPr>
          <t xml:space="preserve">
ingår I uppmätt energi för uppvärmning årsredovisning</t>
        </r>
      </text>
    </comment>
    <comment ref="DD37" authorId="0" shapeId="0" xr:uid="{18C58314-B76F-4D32-9E7C-2AF2CFAB4C30}">
      <text>
        <r>
          <rPr>
            <b/>
            <sz val="9"/>
            <color indexed="81"/>
            <rFont val="Tahoma"/>
            <family val="2"/>
          </rPr>
          <t>mari-liis:</t>
        </r>
        <r>
          <rPr>
            <sz val="9"/>
            <color indexed="81"/>
            <rFont val="Tahoma"/>
            <family val="2"/>
          </rPr>
          <t xml:space="preserve">
omräknat till levererad energi med kombinerad verkningsgrad för produktion av värme och VV</t>
        </r>
      </text>
    </comment>
    <comment ref="C40" authorId="0" shapeId="0" xr:uid="{5AF0A84E-EB6F-4316-A343-9B0AF8500152}">
      <text>
        <r>
          <rPr>
            <sz val="9"/>
            <color indexed="81"/>
            <rFont val="Tahoma"/>
            <family val="2"/>
          </rPr>
          <t xml:space="preserve">Välj i rullgardinsmenyn antal olika värmekällor/ värmeproduktionssystem som finns i byggnaden för produktion av tappvarmvatten
</t>
        </r>
      </text>
    </comment>
    <comment ref="I40" authorId="0" shapeId="0" xr:uid="{EA3DAD86-B9AD-4776-8412-8BD1D2F20455}">
      <text>
        <r>
          <rPr>
            <sz val="9"/>
            <color indexed="81"/>
            <rFont val="Tahoma"/>
            <family val="2"/>
          </rPr>
          <t>Välj värmekälla, dvs. typ av
värmeproduktionssystem som mätdata gäller för.</t>
        </r>
      </text>
    </comment>
    <comment ref="DI40" authorId="0" shapeId="0" xr:uid="{C3969058-5565-49C6-B071-789BFAA1CE3E}">
      <text>
        <r>
          <rPr>
            <b/>
            <sz val="9"/>
            <color indexed="81"/>
            <rFont val="Tahoma"/>
            <family val="2"/>
          </rPr>
          <t>mari-liis:</t>
        </r>
        <r>
          <rPr>
            <sz val="9"/>
            <color indexed="81"/>
            <rFont val="Tahoma"/>
            <family val="2"/>
          </rPr>
          <t xml:space="preserve">
normaliserads energi för uppvärmnning I årsredovisningen</t>
        </r>
      </text>
    </comment>
    <comment ref="DR40" authorId="0" shapeId="0" xr:uid="{E3F9B45B-44CC-47BF-B413-F1916956E28B}">
      <text>
        <r>
          <rPr>
            <b/>
            <sz val="9"/>
            <color indexed="81"/>
            <rFont val="Tahoma"/>
            <family val="2"/>
          </rPr>
          <t>mari-liis:</t>
        </r>
        <r>
          <rPr>
            <sz val="9"/>
            <color indexed="81"/>
            <rFont val="Tahoma"/>
            <family val="2"/>
          </rPr>
          <t xml:space="preserve">
normaliserads energi för uppvärmnning I årsredovisningen</t>
        </r>
      </text>
    </comment>
    <comment ref="C41" authorId="0" shapeId="0" xr:uid="{DBBC3E39-9F09-48E2-B743-BAAF8DE7968D}">
      <text>
        <r>
          <rPr>
            <sz val="9"/>
            <color indexed="81"/>
            <rFont val="Tahoma"/>
            <family val="2"/>
          </rPr>
          <t>I nya byggnader ska förluster för varmvattencirkulation kunna mätas separat. I äldre byggnader är det inte ovanligt att de inkluderas i uppmätt energin för uppvärmning eller uppmätt energi för tappvarmvatten. Välj i rullgardinsmenyn hur mätning i VVS-förluster sker i den specifika byggnaden.</t>
        </r>
      </text>
    </comment>
    <comment ref="I41" authorId="0" shapeId="0" xr:uid="{4B4C48AC-11CA-4EEE-8F1F-B0B221E30022}">
      <text>
        <r>
          <rPr>
            <sz val="9"/>
            <color indexed="81"/>
            <rFont val="Tahoma"/>
            <family val="2"/>
          </rPr>
          <t xml:space="preserve">Ange årsverkningsgraden hos värmekällan för produktion av tappvarmvatten. Informationen används för beräkning av levererad energi om mätdata anges som producerad energi och för normalisering av energianvändningen. </t>
        </r>
      </text>
    </comment>
    <comment ref="AU41" authorId="0" shapeId="0" xr:uid="{3718359D-7219-4AC6-8B39-D16A92A65B07}">
      <text>
        <r>
          <rPr>
            <b/>
            <sz val="9"/>
            <color indexed="81"/>
            <rFont val="Tahoma"/>
            <family val="2"/>
          </rPr>
          <t>mari-liis:</t>
        </r>
        <r>
          <rPr>
            <sz val="9"/>
            <color indexed="81"/>
            <rFont val="Tahoma"/>
            <family val="2"/>
          </rPr>
          <t xml:space="preserve">
Uppmätt energi för tappvarmvatten I månadsvis redovisning</t>
        </r>
      </text>
    </comment>
    <comment ref="C42" authorId="0" shapeId="0" xr:uid="{2BBCFBAE-C835-4E5A-80BD-0CE19AE112F6}">
      <text>
        <r>
          <rPr>
            <sz val="9"/>
            <color indexed="81"/>
            <rFont val="Tahoma"/>
            <family val="2"/>
          </rPr>
          <t>Ange om det finns energieffektiva tappvarmvattenarmaturer i byggnaden. Välj "Finns" bara om merparten av tappvarmvattenarmaturer i byggnaden uppfyller energiklass A enligt SS 820000:2010 och SS 820001:2010.Välj "Finns ej" om information saknas eller om merparten av armaturer inte uppfyller energiklass A.</t>
        </r>
      </text>
    </comment>
    <comment ref="I42" authorId="0" shapeId="0" xr:uid="{F9D6DBBA-E4A5-4ED9-9DBD-1586D8BD11BC}">
      <text>
        <r>
          <rPr>
            <sz val="9"/>
            <color indexed="81"/>
            <rFont val="Tahoma"/>
            <family val="2"/>
          </rPr>
          <t xml:space="preserve">Välj hur energimätare har placerats i mätsystemet. Beroende på mätarnas placering mäter de antigen hur mycket energi som produceras, eller levereras till värmekällan (så kallad köpt energi). </t>
        </r>
      </text>
    </comment>
    <comment ref="C44" authorId="1" shapeId="0" xr:uid="{1566927F-88ED-40DE-9732-9B60AAB0D58C}">
      <text>
        <r>
          <rPr>
            <sz val="9"/>
            <color indexed="81"/>
            <rFont val="Tahoma"/>
            <family val="2"/>
          </rPr>
          <t>Skriv kommentarer om mätdata i rutan nedan</t>
        </r>
      </text>
    </comment>
    <comment ref="BB55" authorId="0" shapeId="0" xr:uid="{7061452C-3EFB-4673-B19A-63677E0BD54E}">
      <text>
        <r>
          <rPr>
            <b/>
            <sz val="9"/>
            <color indexed="81"/>
            <rFont val="Tahoma"/>
            <family val="2"/>
          </rPr>
          <t>mari-liis:</t>
        </r>
        <r>
          <rPr>
            <sz val="9"/>
            <color indexed="81"/>
            <rFont val="Tahoma"/>
            <family val="2"/>
          </rPr>
          <t xml:space="preserve">
fördelning till hela byggnadens Atemp pga viktning av norm värde</t>
        </r>
      </text>
    </comment>
    <comment ref="BK55" authorId="0" shapeId="0" xr:uid="{86DE7331-CE87-4AF9-B5B7-B04948834356}">
      <text>
        <r>
          <rPr>
            <b/>
            <sz val="9"/>
            <color indexed="81"/>
            <rFont val="Tahoma"/>
            <family val="2"/>
          </rPr>
          <t>mari-liis:</t>
        </r>
        <r>
          <rPr>
            <sz val="9"/>
            <color indexed="81"/>
            <rFont val="Tahoma"/>
            <family val="2"/>
          </rPr>
          <t xml:space="preserve">
fördelning till hela byggnadens Atemp pga viktning av norm värde</t>
        </r>
      </text>
    </comment>
    <comment ref="BG59" authorId="0" shapeId="0" xr:uid="{7015DFBA-234F-449C-AD34-90DCD9A4E3A6}">
      <text>
        <r>
          <rPr>
            <b/>
            <sz val="9"/>
            <color indexed="81"/>
            <rFont val="Tahoma"/>
            <family val="2"/>
          </rPr>
          <t>mari-liis:</t>
        </r>
        <r>
          <rPr>
            <sz val="9"/>
            <color indexed="81"/>
            <rFont val="Tahoma"/>
            <family val="2"/>
          </rPr>
          <t xml:space="preserve">
normaliserad energi för tappvarmvatten I årsredovisningen</t>
        </r>
      </text>
    </comment>
    <comment ref="BP59" authorId="0" shapeId="0" xr:uid="{C1192791-89FE-4D02-BB19-A0979139D249}">
      <text>
        <r>
          <rPr>
            <b/>
            <sz val="9"/>
            <color indexed="81"/>
            <rFont val="Tahoma"/>
            <family val="2"/>
          </rPr>
          <t>mari-liis:</t>
        </r>
        <r>
          <rPr>
            <sz val="9"/>
            <color indexed="81"/>
            <rFont val="Tahoma"/>
            <family val="2"/>
          </rPr>
          <t xml:space="preserve">
normaliserad energi för tappvarmvatten I årsredovisningen</t>
        </r>
      </text>
    </comment>
    <comment ref="AL62" authorId="0" shapeId="0" xr:uid="{7AAC1BBD-5C2F-43DC-A0AE-67109538EF18}">
      <text>
        <r>
          <rPr>
            <b/>
            <sz val="9"/>
            <color indexed="81"/>
            <rFont val="Tahoma"/>
            <family val="2"/>
          </rPr>
          <t>mari-liis:</t>
        </r>
        <r>
          <rPr>
            <sz val="9"/>
            <color indexed="81"/>
            <rFont val="Tahoma"/>
            <family val="2"/>
          </rPr>
          <t xml:space="preserve">
Uppmätt energi för tappvarmvatten I årsredovisning</t>
        </r>
      </text>
    </comment>
    <comment ref="C80" authorId="0" shapeId="0" xr:uid="{B35563E8-B549-4485-A119-161064B584D4}">
      <text>
        <r>
          <rPr>
            <sz val="9"/>
            <color indexed="81"/>
            <rFont val="Tahoma"/>
            <family val="2"/>
          </rPr>
          <t xml:space="preserve">Välj antal olika energiproduktionssystem som finns i byggnaden för komfortkyla. </t>
        </r>
      </text>
    </comment>
    <comment ref="I80" authorId="0" shapeId="0" xr:uid="{23374334-F60C-495B-B45A-688342A83576}">
      <text>
        <r>
          <rPr>
            <sz val="9"/>
            <color indexed="81"/>
            <rFont val="Tahoma"/>
            <family val="2"/>
          </rPr>
          <t>Välj typ av
energiproduktionssystem som mätdata gäller för.</t>
        </r>
      </text>
    </comment>
    <comment ref="I81" authorId="0" shapeId="0" xr:uid="{56C0B4CC-A8E3-4789-BCE8-57020B2926FC}">
      <text>
        <r>
          <rPr>
            <sz val="9"/>
            <color indexed="81"/>
            <rFont val="Tahoma"/>
            <family val="2"/>
          </rPr>
          <t xml:space="preserve">Ange årsverkningsgraden för produktion av komfortkyla.  Informationen används för beräkning av levererad energi om mätdata anges som producerad energi. </t>
        </r>
      </text>
    </comment>
    <comment ref="AF81" authorId="0" shapeId="0" xr:uid="{0AF0577A-96C6-4FA9-94D7-4B2FE2F2EA2B}">
      <text>
        <r>
          <rPr>
            <b/>
            <sz val="9"/>
            <color indexed="81"/>
            <rFont val="Tahoma"/>
            <family val="2"/>
          </rPr>
          <t>mari-liis:</t>
        </r>
        <r>
          <rPr>
            <sz val="9"/>
            <color indexed="81"/>
            <rFont val="Tahoma"/>
            <family val="2"/>
          </rPr>
          <t xml:space="preserve">
ingår I uppmätt energi för komfortkyla I månadsredovisning</t>
        </r>
      </text>
    </comment>
    <comment ref="C82" authorId="1" shapeId="0" xr:uid="{B0BA0ACC-B81A-40F7-A8DB-B5C721DD19BC}">
      <text>
        <r>
          <rPr>
            <b/>
            <sz val="9"/>
            <color indexed="81"/>
            <rFont val="Tahoma"/>
            <family val="2"/>
          </rPr>
          <t>mariliis:</t>
        </r>
        <r>
          <rPr>
            <sz val="9"/>
            <color indexed="81"/>
            <rFont val="Tahoma"/>
            <family val="2"/>
          </rPr>
          <t xml:space="preserve">
</t>
        </r>
      </text>
    </comment>
    <comment ref="I82" authorId="0" shapeId="0" xr:uid="{C58C6F6A-7B80-4D3C-B2A1-CCB93A6B090F}">
      <text>
        <r>
          <rPr>
            <sz val="9"/>
            <color indexed="81"/>
            <rFont val="Tahoma"/>
            <family val="2"/>
          </rPr>
          <t xml:space="preserve">Välj hur energimätare har placerats i mätsystemet. Beroende på mätarnas placering mäter de antigen hur mycket energi som produceras, eller levereras till produktionssystemet (så kallad köpt energi). </t>
        </r>
      </text>
    </comment>
    <comment ref="BN91" authorId="0" shapeId="0" xr:uid="{2E173AD0-DBFF-461A-97CC-3AEC92FA47FB}">
      <text>
        <r>
          <rPr>
            <b/>
            <sz val="9"/>
            <color indexed="81"/>
            <rFont val="Tahoma"/>
            <family val="2"/>
          </rPr>
          <t>mari-liis:</t>
        </r>
        <r>
          <rPr>
            <sz val="9"/>
            <color indexed="81"/>
            <rFont val="Tahoma"/>
            <family val="2"/>
          </rPr>
          <t xml:space="preserve">
normaliserad energi för komfortkyla I årsredovisningen</t>
        </r>
      </text>
    </comment>
    <comment ref="BD92" authorId="0" shapeId="0" xr:uid="{A5960A4B-8647-4C02-A2FF-9043C7329849}">
      <text>
        <r>
          <rPr>
            <b/>
            <sz val="9"/>
            <color indexed="81"/>
            <rFont val="Tahoma"/>
            <family val="2"/>
          </rPr>
          <t>mari-liis:</t>
        </r>
        <r>
          <rPr>
            <sz val="9"/>
            <color indexed="81"/>
            <rFont val="Tahoma"/>
            <family val="2"/>
          </rPr>
          <t xml:space="preserve">
normaliserad energi för komfortkyla I årsredovisningen</t>
        </r>
      </text>
    </comment>
    <comment ref="AA95" authorId="0" shapeId="0" xr:uid="{206295BD-7BF0-4E56-9C43-442AFDF1640F}">
      <text>
        <r>
          <rPr>
            <b/>
            <sz val="9"/>
            <color indexed="81"/>
            <rFont val="Tahoma"/>
            <family val="2"/>
          </rPr>
          <t>mari-liis:</t>
        </r>
        <r>
          <rPr>
            <sz val="9"/>
            <color indexed="81"/>
            <rFont val="Tahoma"/>
            <family val="2"/>
          </rPr>
          <t xml:space="preserve">
ingår I uppmätt energi för komfortkyla I årsredovisning</t>
        </r>
      </text>
    </comment>
    <comment ref="C103" authorId="0" shapeId="0" xr:uid="{EC7270BF-6650-48CE-8DAD-2236A3F28905}">
      <text>
        <r>
          <rPr>
            <sz val="9"/>
            <color indexed="81"/>
            <rFont val="Tahoma"/>
            <family val="2"/>
          </rPr>
          <t xml:space="preserve">Välj antal energiproduktionssystem som finns i byggnaden för fastighetsenergi. </t>
        </r>
      </text>
    </comment>
    <comment ref="I103" authorId="0" shapeId="0" xr:uid="{EDE961F8-5EE1-4A61-A4B3-C6E1FF03732C}">
      <text>
        <r>
          <rPr>
            <sz val="9"/>
            <color indexed="81"/>
            <rFont val="Tahoma"/>
            <family val="2"/>
          </rPr>
          <t xml:space="preserve">Välj energibärare för fastighetsenergi i rullgardinsmenyn  </t>
        </r>
      </text>
    </comment>
    <comment ref="AO103" authorId="0" shapeId="0" xr:uid="{61C893E6-CA8E-462F-BA9B-5D7C7F7CE66F}">
      <text>
        <r>
          <rPr>
            <b/>
            <sz val="9"/>
            <color indexed="81"/>
            <rFont val="Tahoma"/>
            <family val="2"/>
          </rPr>
          <t>mari-liis:</t>
        </r>
        <r>
          <rPr>
            <sz val="9"/>
            <color indexed="81"/>
            <rFont val="Tahoma"/>
            <family val="2"/>
          </rPr>
          <t xml:space="preserve">
ingår I uppmätt energi för uppvärmning I månadsredovisning</t>
        </r>
      </text>
    </comment>
    <comment ref="I104" authorId="0" shapeId="0" xr:uid="{6825A377-BB81-4E93-92F2-9A5B0D98373B}">
      <text>
        <r>
          <rPr>
            <sz val="9"/>
            <color indexed="81"/>
            <rFont val="Tahoma"/>
            <family val="2"/>
          </rPr>
          <t>Välj om mätningen gäller för fastighetsenergi eller  elgolvvärme i badrum (om finns och mäts separat)</t>
        </r>
      </text>
    </comment>
    <comment ref="C105" authorId="0" shapeId="0" xr:uid="{A86238F1-E88A-4498-B2D8-6AF5A66FE7B1}">
      <text>
        <r>
          <rPr>
            <sz val="9"/>
            <color indexed="81"/>
            <rFont val="Tahoma"/>
            <family val="2"/>
          </rPr>
          <t xml:space="preserve">Ange om det finns komfortgolvvärme med el i badrum. 
</t>
        </r>
      </text>
    </comment>
    <comment ref="AJ105" authorId="0" shapeId="0" xr:uid="{27F11CD0-4526-4A6E-8C0D-0576D75D21F9}">
      <text>
        <r>
          <rPr>
            <b/>
            <sz val="9"/>
            <color indexed="81"/>
            <rFont val="Tahoma"/>
            <family val="2"/>
          </rPr>
          <t>mari-liis:</t>
        </r>
        <r>
          <rPr>
            <sz val="9"/>
            <color indexed="81"/>
            <rFont val="Tahoma"/>
            <family val="2"/>
          </rPr>
          <t xml:space="preserve">
ingår I uppmätt energi för fastighetsenergi I månadsredovisning</t>
        </r>
      </text>
    </comment>
    <comment ref="C107" authorId="0" shapeId="0" xr:uid="{618CAFF0-9DB9-4032-ACD9-B6496AAFEA2A}">
      <text>
        <r>
          <rPr>
            <sz val="9"/>
            <color indexed="81"/>
            <rFont val="Tahoma"/>
            <family val="2"/>
          </rPr>
          <t xml:space="preserve">Ange hur energi till elgolvvärme mäts i byggnaden. Uppmätt energi för elvärmda badrumsgolv ska  adderas till  energi för uppvärmning vid normalisering av energianvändningen.
</t>
        </r>
      </text>
    </comment>
    <comment ref="C109" authorId="0" shapeId="0" xr:uid="{69AD0F66-1FFD-4EF0-85CB-31A5AB3AB57D}">
      <text>
        <r>
          <rPr>
            <sz val="9"/>
            <color indexed="81"/>
            <rFont val="Tahoma"/>
            <family val="2"/>
          </rPr>
          <t>Ange antal badrum där elgolvvärme är installerad</t>
        </r>
      </text>
    </comment>
    <comment ref="C112" authorId="1" shapeId="0" xr:uid="{EB010115-B8F9-40FE-B84B-C5260CC0A3F6}">
      <text>
        <r>
          <rPr>
            <sz val="9"/>
            <color indexed="81"/>
            <rFont val="Tahoma"/>
            <family val="2"/>
          </rPr>
          <t>Skriv kommentarer om mätdata i rutan nedan</t>
        </r>
      </text>
    </comment>
    <comment ref="AJ117" authorId="0" shapeId="0" xr:uid="{37F34778-A526-41B7-93B1-9B66C1F84650}">
      <text>
        <r>
          <rPr>
            <b/>
            <sz val="9"/>
            <color indexed="81"/>
            <rFont val="Tahoma"/>
            <family val="2"/>
          </rPr>
          <t>mari-liis:</t>
        </r>
        <r>
          <rPr>
            <sz val="9"/>
            <color indexed="81"/>
            <rFont val="Tahoma"/>
            <family val="2"/>
          </rPr>
          <t xml:space="preserve">
ingår I uppmätt energi för fastighetsenergi I årsredovisningen</t>
        </r>
      </text>
    </comment>
    <comment ref="AO117" authorId="0" shapeId="0" xr:uid="{0C7A5C5D-4697-4A8D-8DD2-C15EACDF73E9}">
      <text>
        <r>
          <rPr>
            <b/>
            <sz val="9"/>
            <color indexed="81"/>
            <rFont val="Tahoma"/>
            <family val="2"/>
          </rPr>
          <t>mari-liis:</t>
        </r>
        <r>
          <rPr>
            <sz val="9"/>
            <color indexed="81"/>
            <rFont val="Tahoma"/>
            <family val="2"/>
          </rPr>
          <t xml:space="preserve">
ingår I uppmätt energi för uppvärmning I årsredovisningen</t>
        </r>
      </text>
    </comment>
    <comment ref="BE122" authorId="0" shapeId="0" xr:uid="{33B4F2C9-A04B-4EE1-B788-CF3302421028}">
      <text>
        <r>
          <rPr>
            <b/>
            <sz val="9"/>
            <color indexed="81"/>
            <rFont val="Tahoma"/>
            <family val="2"/>
          </rPr>
          <t>mari-liis:</t>
        </r>
        <r>
          <rPr>
            <sz val="9"/>
            <color indexed="81"/>
            <rFont val="Tahoma"/>
            <family val="2"/>
          </rPr>
          <t xml:space="preserve">
normaliserad energi för fastighetsenergi I årsredovisningen</t>
        </r>
      </text>
    </comment>
    <comment ref="BO122" authorId="0" shapeId="0" xr:uid="{8DCD5880-650C-420E-B094-148E38B41838}">
      <text>
        <r>
          <rPr>
            <b/>
            <sz val="9"/>
            <color indexed="81"/>
            <rFont val="Tahoma"/>
            <family val="2"/>
          </rPr>
          <t>mari-liis:</t>
        </r>
        <r>
          <rPr>
            <sz val="9"/>
            <color indexed="81"/>
            <rFont val="Tahoma"/>
            <family val="2"/>
          </rPr>
          <t xml:space="preserve">
normaliserad energi för fastighetsenergi I årsredovisningen</t>
        </r>
      </text>
    </comment>
    <comment ref="C129" authorId="0" shapeId="0" xr:uid="{49306A48-0C8C-4A92-81C3-D9768DDD067D}">
      <text>
        <r>
          <rPr>
            <sz val="9"/>
            <color indexed="81"/>
            <rFont val="Tahoma"/>
            <family val="2"/>
          </rPr>
          <t xml:space="preserve">Välj antal olika system som finns i byggnaden för egenproducerad och/eller återvunnen energi. </t>
        </r>
      </text>
    </comment>
    <comment ref="I129" authorId="0" shapeId="0" xr:uid="{2B772554-AA48-47A3-8C12-A49E16549C54}">
      <text>
        <r>
          <rPr>
            <sz val="9"/>
            <color indexed="81"/>
            <rFont val="Tahoma"/>
            <family val="2"/>
          </rPr>
          <t>Välj typ av
energiproduktionssystem eller återvunnen energi som mätdata gäller för</t>
        </r>
      </text>
    </comment>
    <comment ref="I130" authorId="0" shapeId="0" xr:uid="{A6CDB5E1-90CE-4045-85B6-313BA2B06CDD}">
      <text>
        <r>
          <rPr>
            <sz val="9"/>
            <color indexed="81"/>
            <rFont val="Tahoma"/>
            <family val="2"/>
          </rPr>
          <t xml:space="preserve">Välj för vilken energipost egenproducerad eller återvunnen energi kan tillgodoräknas </t>
        </r>
      </text>
    </comment>
    <comment ref="C131" authorId="1" shapeId="0" xr:uid="{39208199-BAED-4835-95C0-5F7F4D12E79C}">
      <text>
        <r>
          <rPr>
            <sz val="9"/>
            <color indexed="81"/>
            <rFont val="Tahoma"/>
            <family val="2"/>
          </rPr>
          <t>Skriv kommentarer om mätdata i rutan nedan</t>
        </r>
      </text>
    </comment>
    <comment ref="I131" authorId="0" shapeId="0" xr:uid="{B3E70BF8-0101-4CA9-A260-EDAF6FBA3FEF}">
      <text>
        <r>
          <rPr>
            <sz val="9"/>
            <color indexed="81"/>
            <rFont val="Tahoma"/>
            <family val="2"/>
          </rPr>
          <t>Välj var energimätaren för tillgodogjord egenproducerad energi installerats i förhållande till övriga energimätare för mätning av olika energiposter. Mer om detta i informationstexten vid sidan om.</t>
        </r>
      </text>
    </comment>
    <comment ref="C154" authorId="0" shapeId="0" xr:uid="{EAF3732E-CC13-49CE-947B-CB28084733C9}">
      <text>
        <r>
          <rPr>
            <sz val="9"/>
            <color indexed="81"/>
            <rFont val="Tahoma"/>
            <family val="2"/>
          </rPr>
          <t>Ange om det finns tillgänglig mätdata för hushållsenergi alt. verksamhetsenergi</t>
        </r>
      </text>
    </comment>
    <comment ref="I154" authorId="0" shapeId="0" xr:uid="{470D703E-EDC3-4D27-A816-544309370423}">
      <text>
        <r>
          <rPr>
            <sz val="9"/>
            <color indexed="81"/>
            <rFont val="Tahoma"/>
            <family val="2"/>
          </rPr>
          <t>Välj energibärare för verksamhetsenergi eller hushållsenergi</t>
        </r>
      </text>
    </comment>
    <comment ref="I155" authorId="0" shapeId="0" xr:uid="{6E1B28BF-DF29-455D-9E8C-87147B5109F6}">
      <text>
        <r>
          <rPr>
            <sz val="9"/>
            <color indexed="81"/>
            <rFont val="Tahoma"/>
            <family val="2"/>
          </rPr>
          <t>Ange om mätningen gäller för hushållsenergi eller verksamhetsenergi</t>
        </r>
      </text>
    </comment>
    <comment ref="C156" authorId="0" shapeId="0" xr:uid="{95EFB24F-5BD8-448C-A55A-11698CC1365E}">
      <text>
        <r>
          <rPr>
            <sz val="9"/>
            <color indexed="81"/>
            <rFont val="Tahoma"/>
            <family val="2"/>
          </rPr>
          <t xml:space="preserve">Välj antal olika energiproduktionssystem som finns i byggnaden för verksamhetsenergi eller hushållsenergi
</t>
        </r>
      </text>
    </comment>
    <comment ref="C158" authorId="1" shapeId="0" xr:uid="{5A5C194B-8DC8-490E-B062-BAC7A0456ADD}">
      <text>
        <r>
          <rPr>
            <sz val="9"/>
            <color indexed="81"/>
            <rFont val="Tahoma"/>
            <family val="2"/>
          </rPr>
          <t>Skriv kommentarer om mätdata i rutan nedan</t>
        </r>
      </text>
    </comment>
    <comment ref="AB164" authorId="0" shapeId="0" xr:uid="{DB9249B7-5F9B-4748-B01A-1608A1CAD066}">
      <text>
        <r>
          <rPr>
            <b/>
            <sz val="9"/>
            <color indexed="81"/>
            <rFont val="Tahoma"/>
            <family val="2"/>
          </rPr>
          <t>mari-liis:</t>
        </r>
        <r>
          <rPr>
            <sz val="9"/>
            <color indexed="81"/>
            <rFont val="Tahoma"/>
            <family val="2"/>
          </rPr>
          <t xml:space="preserve">
ingår I sammanställning på resultatsida</t>
        </r>
      </text>
    </comment>
    <comment ref="AB165" authorId="0" shapeId="0" xr:uid="{E3723352-5545-4F35-9828-90381B4570E6}">
      <text>
        <r>
          <rPr>
            <b/>
            <sz val="9"/>
            <color indexed="81"/>
            <rFont val="Tahoma"/>
            <family val="2"/>
          </rPr>
          <t>mari-liis:</t>
        </r>
        <r>
          <rPr>
            <sz val="9"/>
            <color indexed="81"/>
            <rFont val="Tahoma"/>
            <family val="2"/>
          </rPr>
          <t xml:space="preserve">
ingår I sammanställning på resultatsida</t>
        </r>
      </text>
    </comment>
    <comment ref="BD166" authorId="0" shapeId="0" xr:uid="{703E1511-0430-4F4F-B63C-745CE369D5F4}">
      <text>
        <r>
          <rPr>
            <b/>
            <sz val="9"/>
            <color indexed="81"/>
            <rFont val="Tahoma"/>
            <family val="2"/>
          </rPr>
          <t>mari-liis:</t>
        </r>
        <r>
          <rPr>
            <sz val="9"/>
            <color indexed="81"/>
            <rFont val="Tahoma"/>
            <family val="2"/>
          </rPr>
          <t xml:space="preserve">
ingår I sammanställning på resultatsida</t>
        </r>
      </text>
    </comment>
    <comment ref="C177" authorId="0" shapeId="0" xr:uid="{6E21088B-B015-42B0-B7C5-C898D269EF17}">
      <text>
        <r>
          <rPr>
            <sz val="9"/>
            <color indexed="81"/>
            <rFont val="Tahoma"/>
            <family val="2"/>
          </rPr>
          <t xml:space="preserve">Ange om det finns tillgänglig mätdata för inomhustemperaturer under uppvärmningssäsongen. För normalisering av mätvärden enligt Boverkets föreskrifter BEN behöver även representativa inomhustemperaturer mätas under uppvärmningssäsongen. Temperaturmätningar i verksamhetsutrymmen eller lägenheter ska representera minst 20 % av den tempererade golvarean (Atemp) och mätas med minst en givare per våningsplan. För lokalbyggnader finns alternativet att temperaturmätning istället utgörs av en kombination av temperaturmätning i frånluft under drifttid och några representativa temperaturgivare i verksamhetsutrymmen under övrig tid. 
</t>
        </r>
      </text>
    </comment>
    <comment ref="F177" authorId="1" shapeId="0" xr:uid="{BF56CF9B-72A0-4732-A9A2-975C3AF46620}">
      <text>
        <r>
          <rPr>
            <sz val="9"/>
            <color indexed="81"/>
            <rFont val="Tahoma"/>
            <family val="2"/>
          </rPr>
          <t>Skriv kommentarer om mätdata i rutan nedan</t>
        </r>
      </text>
    </comment>
    <comment ref="C179" authorId="0" shapeId="0" xr:uid="{DD4080F9-0F2C-476B-97B7-F9B553971AAE}">
      <text>
        <r>
          <rPr>
            <sz val="9"/>
            <color indexed="81"/>
            <rFont val="Tahoma"/>
            <family val="2"/>
          </rPr>
          <t xml:space="preserve">Välj i rullgardinsmenyn startmånad för uppvärmningssäsongen.
Uppvärmningssäsongens start och slut ska anges även om separat mätdata för uppmätta inomhustemperaturer inte finns. Informationen behövs  för normalisering av energianvändning på grund av avvikelser i internlaster. 
</t>
        </r>
      </text>
    </comment>
    <comment ref="C180" authorId="0" shapeId="0" xr:uid="{99945B9F-EFB2-41B4-AA62-267E1CF4235C}">
      <text>
        <r>
          <rPr>
            <sz val="9"/>
            <color indexed="81"/>
            <rFont val="Tahoma"/>
            <family val="2"/>
          </rPr>
          <t xml:space="preserve">Välj i rullgardinsmenyn slutmånad för uppvärmningssäsongen,
Uppvärmningssäsongens start och slut ska anges även om separat mätdata för uppmätta inomhustemperaturer inte finns. Informationen behövs  för normalisering av energianvändning på grund av avvikelser i internlaster. </t>
        </r>
      </text>
    </comment>
    <comment ref="C182" authorId="0" shapeId="0" xr:uid="{4BCC9D97-56A4-4EFB-8C47-AD69A353530A}">
      <text>
        <r>
          <rPr>
            <sz val="9"/>
            <color indexed="81"/>
            <rFont val="Tahoma"/>
            <family val="2"/>
          </rPr>
          <t>Ange vilken byggnadsdel/ verksamhetsutrymme som mätvärdet gäller för</t>
        </r>
      </text>
    </comment>
    <comment ref="C183" authorId="0" shapeId="0" xr:uid="{B5FD350A-D9B8-4826-912B-9ECD107B1830}">
      <text>
        <r>
          <rPr>
            <sz val="9"/>
            <color indexed="81"/>
            <rFont val="Tahoma"/>
            <family val="2"/>
          </rPr>
          <t>Ange areaandel av Atemp som mätvärdet gäller för</t>
        </r>
      </text>
    </comment>
    <comment ref="C184" authorId="0" shapeId="0" xr:uid="{37058005-B991-49B8-BB8E-F409E7F761A7}">
      <text>
        <r>
          <rPr>
            <sz val="9"/>
            <color indexed="81"/>
            <rFont val="Tahoma"/>
            <family val="2"/>
          </rPr>
          <t xml:space="preserve">Ange uppmätt genomsnittlig inomhustemperatur under uppvärmningssäsongen </t>
        </r>
      </text>
    </comment>
    <comment ref="C186" authorId="0" shapeId="0" xr:uid="{F88569BE-C133-44DB-8D19-8BFAB26261D5}">
      <text>
        <r>
          <rPr>
            <sz val="9"/>
            <color indexed="81"/>
            <rFont val="Tahoma"/>
            <family val="2"/>
          </rPr>
          <t>Ange vilken byggnadsdel/ verksamhetsutrymme som mätvärdet gäller för</t>
        </r>
      </text>
    </comment>
    <comment ref="C187" authorId="0" shapeId="0" xr:uid="{D9A4EFCB-C08B-4361-B12F-D04325CB4494}">
      <text>
        <r>
          <rPr>
            <sz val="9"/>
            <color indexed="81"/>
            <rFont val="Tahoma"/>
            <family val="2"/>
          </rPr>
          <t>Ange areaandel av Atemp som mätvärdet gäller för</t>
        </r>
      </text>
    </comment>
    <comment ref="C188" authorId="0" shapeId="0" xr:uid="{AEF0EFA7-A041-465A-B028-5A1A1F7D796E}">
      <text>
        <r>
          <rPr>
            <sz val="9"/>
            <color indexed="81"/>
            <rFont val="Tahoma"/>
            <family val="2"/>
          </rPr>
          <t xml:space="preserve">Ange uppmätt genomsnittlig inomhustemperatur under uppvärmningssäsongen </t>
        </r>
      </text>
    </comment>
    <comment ref="C190" authorId="0" shapeId="0" xr:uid="{65D98F14-9353-4E9D-AFDA-556F9DF61D3C}">
      <text>
        <r>
          <rPr>
            <sz val="9"/>
            <color indexed="81"/>
            <rFont val="Tahoma"/>
            <family val="2"/>
          </rPr>
          <t>Ange vilken byggnadsdel/ verksamhetsutrymme som mätvärdet gäller för</t>
        </r>
      </text>
    </comment>
    <comment ref="C191" authorId="0" shapeId="0" xr:uid="{407475CC-2939-474A-85EA-5482F905EE59}">
      <text>
        <r>
          <rPr>
            <sz val="9"/>
            <color indexed="81"/>
            <rFont val="Tahoma"/>
            <family val="2"/>
          </rPr>
          <t>Ange areaandel av Atemp som mätvärdet gäller för</t>
        </r>
      </text>
    </comment>
    <comment ref="C192" authorId="0" shapeId="0" xr:uid="{301A156A-00C4-40FE-AEBE-25EED84633F0}">
      <text>
        <r>
          <rPr>
            <sz val="9"/>
            <color indexed="81"/>
            <rFont val="Tahoma"/>
            <family val="2"/>
          </rPr>
          <t xml:space="preserve">Ange uppmätt genomsnittlig inomhustemperatur under uppvärmningssäsongen </t>
        </r>
      </text>
    </comment>
    <comment ref="C198" authorId="0" shapeId="0" xr:uid="{F34A1A14-6DF2-405F-BF87-563A1057858C}">
      <text>
        <r>
          <rPr>
            <sz val="9"/>
            <color indexed="81"/>
            <rFont val="Tahoma"/>
            <family val="2"/>
          </rPr>
          <t xml:space="preserve">Normal inomhustemperatur enligt GreenBuilding krav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Karin Glader</author>
    <author>mariliis</author>
  </authors>
  <commentList>
    <comment ref="D25" authorId="0" shapeId="0" xr:uid="{31B5D207-9930-4C86-9056-62261C3A8121}">
      <text>
        <r>
          <rPr>
            <sz val="9"/>
            <color indexed="81"/>
            <rFont val="Tahoma"/>
            <family val="2"/>
          </rPr>
          <t>Totala under beräkningsperioden på 
50 år</t>
        </r>
      </text>
    </comment>
    <comment ref="D26" authorId="0" shapeId="0" xr:uid="{F34DE1E7-6029-4CF2-8E89-EDBE882568DC}">
      <text>
        <r>
          <rPr>
            <sz val="9"/>
            <color indexed="81"/>
            <rFont val="Tahoma"/>
            <family val="2"/>
          </rPr>
          <t>Totala under beräkningsperioden på 
50 år</t>
        </r>
      </text>
    </comment>
    <comment ref="D27" authorId="0" shapeId="0" xr:uid="{79629F9F-15D8-466E-BC18-A06BA3B4E16F}">
      <text>
        <r>
          <rPr>
            <sz val="9"/>
            <color indexed="81"/>
            <rFont val="Tahoma"/>
            <family val="2"/>
          </rPr>
          <t>Totala under aktuellt mätår.</t>
        </r>
      </text>
    </comment>
    <comment ref="D29" authorId="0" shapeId="0" xr:uid="{4560CD6E-E2AC-4021-A738-B17FCFE9CF4F}">
      <text>
        <r>
          <rPr>
            <sz val="9"/>
            <color indexed="81"/>
            <rFont val="Tahoma"/>
            <family val="2"/>
          </rPr>
          <t>Totala under beräkningsperioden på 
50 år</t>
        </r>
      </text>
    </comment>
    <comment ref="D30" authorId="0" shapeId="0" xr:uid="{BE3D6CA5-1C5B-497F-BA10-3E8FDD902DB2}">
      <text>
        <r>
          <rPr>
            <sz val="9"/>
            <color indexed="81"/>
            <rFont val="Tahoma"/>
            <family val="2"/>
          </rPr>
          <t>Totala under beräkningsperioden på 
50 år</t>
        </r>
      </text>
    </comment>
    <comment ref="D31" authorId="0" shapeId="0" xr:uid="{3813C37E-EBE0-4FA9-97DE-7DDB46523511}">
      <text>
        <r>
          <rPr>
            <sz val="9"/>
            <color indexed="81"/>
            <rFont val="Tahoma"/>
            <family val="2"/>
          </rPr>
          <t>Totala under aktuellt mätår.</t>
        </r>
      </text>
    </comment>
    <comment ref="F40" authorId="1" shapeId="0" xr:uid="{4039E77B-521F-49DA-818F-6620C81E1197}">
      <text>
        <r>
          <rPr>
            <sz val="9"/>
            <color indexed="81"/>
            <rFont val="Tahoma"/>
            <family val="2"/>
          </rPr>
          <t>skriv kommentarer om normalisering av byggnadens energianvändning i rutan nedan</t>
        </r>
      </text>
    </comment>
    <comment ref="F57" authorId="1" shapeId="0" xr:uid="{ECE38F8D-0970-4BB2-A70D-776F9EDE546D}">
      <text>
        <r>
          <rPr>
            <sz val="9"/>
            <color indexed="81"/>
            <rFont val="Tahoma"/>
            <family val="2"/>
          </rPr>
          <t>skriv kommentarer om normalisering av byggnadens energianvändning i rutan nedan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mari-liis</author>
  </authors>
  <commentList>
    <comment ref="B14" authorId="0" shapeId="0" xr:uid="{ED744C69-1314-44F5-894C-9324AC23E12F}">
      <text>
        <r>
          <rPr>
            <sz val="9"/>
            <color indexed="81"/>
            <rFont val="Tahoma"/>
            <family val="2"/>
          </rPr>
          <t>Klicka på gröna cellen och välj från rullgardinsmenyn om värdena i kolumnen gäller för referensåret, certifieringsåret eller återrapporteringsåret.</t>
        </r>
      </text>
    </comment>
    <comment ref="B15" authorId="0" shapeId="0" xr:uid="{1A953FFC-6427-4B3A-A621-B148EA8EA094}">
      <text>
        <r>
          <rPr>
            <sz val="9"/>
            <color indexed="81"/>
            <rFont val="Tahoma"/>
            <family val="2"/>
          </rPr>
          <t>Klicka på gröna cellen och välj från rullgardinsmeny mätår som gäller för rapporteringsperioden</t>
        </r>
      </text>
    </comment>
    <comment ref="B16" authorId="0" shapeId="0" xr:uid="{F79B3B7B-8826-4585-84AD-E41C5F9B8970}">
      <text>
        <r>
          <rPr>
            <sz val="9"/>
            <color indexed="81"/>
            <rFont val="Tahoma"/>
            <family val="2"/>
          </rPr>
          <t>Ange beräknat primärenergital som gäller för rapporteringperioden</t>
        </r>
      </text>
    </comment>
    <comment ref="B17" authorId="0" shapeId="0" xr:uid="{BA7F27B8-023E-47ED-A125-B167AB14FDA6}">
      <text>
        <r>
          <rPr>
            <sz val="9"/>
            <color indexed="81"/>
            <rFont val="Tahoma"/>
            <family val="2"/>
          </rPr>
          <t>Ange byggnadens energi- klass enligt beräknat primärenergital (gäller för ny byggnad eller befintlig byggnad Alternativ 2) eller minskning av primärenergital i % fämfört med referensåret (gäller för befintlig byggnad Alternativ 1)</t>
        </r>
      </text>
    </comment>
    <comment ref="B18" authorId="0" shapeId="0" xr:uid="{ED4D2681-C84F-4FC2-84F3-930BC36A75A1}">
      <text>
        <r>
          <rPr>
            <sz val="9"/>
            <color indexed="81"/>
            <rFont val="Tahoma"/>
            <family val="2"/>
          </rPr>
          <t>Ange om acceptans kriterium i GreenBuilding 8.0 uppfylls. Valet görs från rullgardinsmenyn.</t>
        </r>
      </text>
    </comment>
    <comment ref="B19" authorId="0" shapeId="0" xr:uid="{4B99624D-8CC1-4599-A89F-D6C2C9CACAB6}">
      <text>
        <r>
          <rPr>
            <sz val="9"/>
            <color indexed="81"/>
            <rFont val="Tahoma"/>
            <family val="2"/>
          </rPr>
          <t>Vid återrapportering beräknas fram avvikelse jämfört med målvärdet (certifieringsåret). Bara avvikelse i energiprestanda som överskrider 5% redovisas här.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Karin Glader</author>
  </authors>
  <commentList>
    <comment ref="BL1" authorId="0" shapeId="0" xr:uid="{08ECC7EE-A617-48C4-A528-6F6726AE215D}">
      <text>
        <r>
          <rPr>
            <b/>
            <sz val="9"/>
            <color indexed="81"/>
            <rFont val="Tahoma"/>
            <family val="2"/>
          </rPr>
          <t>Karin Glader:</t>
        </r>
        <r>
          <rPr>
            <sz val="9"/>
            <color indexed="81"/>
            <rFont val="Tahoma"/>
            <family val="2"/>
          </rPr>
          <t xml:space="preserve">
Habo_102637</t>
        </r>
      </text>
    </comment>
    <comment ref="HR1" authorId="0" shapeId="0" xr:uid="{FCB56692-0F26-4DAC-99A5-852C9925B23A}">
      <text>
        <r>
          <rPr>
            <b/>
            <sz val="9"/>
            <color indexed="81"/>
            <rFont val="Tahoma"/>
            <family val="2"/>
          </rPr>
          <t>Karin Glader:</t>
        </r>
        <r>
          <rPr>
            <sz val="9"/>
            <color indexed="81"/>
            <rFont val="Tahoma"/>
            <family val="2"/>
          </rPr>
          <t xml:space="preserve">
Sälen-Högfjällshotell</t>
        </r>
      </text>
    </comment>
    <comment ref="BL15" authorId="0" shapeId="0" xr:uid="{B782F566-2261-4AE8-B655-EFB552E67B0C}">
      <text>
        <r>
          <rPr>
            <b/>
            <sz val="9"/>
            <color indexed="81"/>
            <rFont val="Tahoma"/>
            <family val="2"/>
          </rPr>
          <t>Karin Glader:</t>
        </r>
        <r>
          <rPr>
            <sz val="9"/>
            <color indexed="81"/>
            <rFont val="Tahoma"/>
            <family val="2"/>
          </rPr>
          <t xml:space="preserve">
Habo_102637</t>
        </r>
      </text>
    </comment>
    <comment ref="HR15" authorId="0" shapeId="0" xr:uid="{09674E99-034E-4036-B583-EAEE8C9E6D0A}">
      <text>
        <r>
          <rPr>
            <b/>
            <sz val="9"/>
            <color indexed="81"/>
            <rFont val="Tahoma"/>
            <family val="2"/>
          </rPr>
          <t>Karin Glader:</t>
        </r>
        <r>
          <rPr>
            <sz val="9"/>
            <color indexed="81"/>
            <rFont val="Tahoma"/>
            <family val="2"/>
          </rPr>
          <t xml:space="preserve">
Sälen-Högfjällshotell</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Karin Glader</author>
  </authors>
  <commentList>
    <comment ref="A22" authorId="0" shapeId="0" xr:uid="{AA206FB3-41EA-499B-A4E3-131EAF8690EF}">
      <text>
        <r>
          <rPr>
            <b/>
            <sz val="9"/>
            <color indexed="81"/>
            <rFont val="Tahoma"/>
            <family val="2"/>
          </rPr>
          <t>Karin Glader:</t>
        </r>
        <r>
          <rPr>
            <sz val="9"/>
            <color indexed="81"/>
            <rFont val="Tahoma"/>
            <family val="2"/>
          </rPr>
          <t xml:space="preserve">
Östra Göinge</t>
        </r>
      </text>
    </comment>
    <comment ref="D22" authorId="0" shapeId="0" xr:uid="{D07CF2A1-BD7B-4208-AA6A-F1F277D51AF3}">
      <text>
        <r>
          <rPr>
            <b/>
            <sz val="9"/>
            <color indexed="81"/>
            <rFont val="Tahoma"/>
            <family val="2"/>
          </rPr>
          <t>Karin Glader:</t>
        </r>
        <r>
          <rPr>
            <sz val="9"/>
            <color indexed="81"/>
            <rFont val="Tahoma"/>
            <family val="2"/>
          </rPr>
          <t xml:space="preserve">
Östra Göinge</t>
        </r>
      </text>
    </comment>
    <comment ref="A27" authorId="0" shapeId="0" xr:uid="{C796DEDB-E0E3-4CC9-832A-53FB9798ADFC}">
      <text>
        <r>
          <rPr>
            <b/>
            <sz val="9"/>
            <color indexed="81"/>
            <rFont val="Tahoma"/>
            <family val="2"/>
          </rPr>
          <t>Karin Glader:</t>
        </r>
        <r>
          <rPr>
            <sz val="9"/>
            <color indexed="81"/>
            <rFont val="Tahoma"/>
            <family val="2"/>
          </rPr>
          <t xml:space="preserve">
Eda komun värsmanland</t>
        </r>
      </text>
    </comment>
    <comment ref="D27" authorId="0" shapeId="0" xr:uid="{F1348E7E-EFBF-4329-9A73-7D66F928335D}">
      <text>
        <r>
          <rPr>
            <b/>
            <sz val="9"/>
            <color indexed="81"/>
            <rFont val="Tahoma"/>
            <family val="2"/>
          </rPr>
          <t>Karin Glader:</t>
        </r>
        <r>
          <rPr>
            <sz val="9"/>
            <color indexed="81"/>
            <rFont val="Tahoma"/>
            <family val="2"/>
          </rPr>
          <t xml:space="preserve">
Eda komun värsmanland</t>
        </r>
      </text>
    </comment>
    <comment ref="A33" authorId="0" shapeId="0" xr:uid="{B6E3F185-D189-4B74-B9AE-EE849A783E72}">
      <text>
        <r>
          <rPr>
            <b/>
            <sz val="9"/>
            <color indexed="81"/>
            <rFont val="Tahoma"/>
            <family val="2"/>
          </rPr>
          <t>Karin Glader:</t>
        </r>
        <r>
          <rPr>
            <sz val="9"/>
            <color indexed="81"/>
            <rFont val="Tahoma"/>
            <family val="2"/>
          </rPr>
          <t xml:space="preserve">
Ovanåker</t>
        </r>
      </text>
    </comment>
    <comment ref="D33" authorId="0" shapeId="0" xr:uid="{C6BABBA2-A33C-482D-BB06-44B35AC45AB0}">
      <text>
        <r>
          <rPr>
            <b/>
            <sz val="9"/>
            <color indexed="81"/>
            <rFont val="Tahoma"/>
            <family val="2"/>
          </rPr>
          <t>Karin Glader:</t>
        </r>
        <r>
          <rPr>
            <sz val="9"/>
            <color indexed="81"/>
            <rFont val="Tahoma"/>
            <family val="2"/>
          </rPr>
          <t xml:space="preserve">
Ovanåker</t>
        </r>
      </text>
    </comment>
    <comment ref="A43" authorId="0" shapeId="0" xr:uid="{E787BF9A-9B79-4B4F-818F-CD3AEEED6E19}">
      <text>
        <r>
          <rPr>
            <b/>
            <sz val="9"/>
            <color indexed="81"/>
            <rFont val="Tahoma"/>
            <family val="2"/>
          </rPr>
          <t>Karin Glader:</t>
        </r>
        <r>
          <rPr>
            <sz val="9"/>
            <color indexed="81"/>
            <rFont val="Tahoma"/>
            <family val="2"/>
          </rPr>
          <t xml:space="preserve">
Vellinge</t>
        </r>
      </text>
    </comment>
    <comment ref="D43" authorId="0" shapeId="0" xr:uid="{4E192395-F730-4231-98F0-F9612DDCC3AB}">
      <text>
        <r>
          <rPr>
            <b/>
            <sz val="9"/>
            <color indexed="81"/>
            <rFont val="Tahoma"/>
            <family val="2"/>
          </rPr>
          <t>Karin Glader:</t>
        </r>
        <r>
          <rPr>
            <sz val="9"/>
            <color indexed="81"/>
            <rFont val="Tahoma"/>
            <family val="2"/>
          </rPr>
          <t xml:space="preserve">
Vellinge</t>
        </r>
      </text>
    </comment>
    <comment ref="A50" authorId="0" shapeId="0" xr:uid="{8A72B3D2-C6EA-414C-AAB3-81582B1CEF89}">
      <text>
        <r>
          <rPr>
            <b/>
            <sz val="9"/>
            <color indexed="81"/>
            <rFont val="Tahoma"/>
            <family val="2"/>
          </rPr>
          <t>Karin Glader:</t>
        </r>
        <r>
          <rPr>
            <sz val="9"/>
            <color indexed="81"/>
            <rFont val="Tahoma"/>
            <family val="2"/>
          </rPr>
          <t xml:space="preserve">
Åsele</t>
        </r>
      </text>
    </comment>
    <comment ref="D50" authorId="0" shapeId="0" xr:uid="{FF5DFFCA-023C-4C9A-80EC-4EBD1164AFE4}">
      <text>
        <r>
          <rPr>
            <b/>
            <sz val="9"/>
            <color indexed="81"/>
            <rFont val="Tahoma"/>
            <family val="2"/>
          </rPr>
          <t>Karin Glader:</t>
        </r>
        <r>
          <rPr>
            <sz val="9"/>
            <color indexed="81"/>
            <rFont val="Tahoma"/>
            <family val="2"/>
          </rPr>
          <t xml:space="preserve">
Åsele</t>
        </r>
      </text>
    </comment>
    <comment ref="A52" authorId="0" shapeId="0" xr:uid="{37CD5B9C-C637-4CF5-A270-C39F75216B04}">
      <text>
        <r>
          <rPr>
            <b/>
            <sz val="9"/>
            <color indexed="81"/>
            <rFont val="Tahoma"/>
            <family val="2"/>
          </rPr>
          <t>Karin Glader:</t>
        </r>
        <r>
          <rPr>
            <sz val="9"/>
            <color indexed="81"/>
            <rFont val="Tahoma"/>
            <family val="2"/>
          </rPr>
          <t xml:space="preserve">
Krokkom</t>
        </r>
      </text>
    </comment>
    <comment ref="D52" authorId="0" shapeId="0" xr:uid="{4356E239-A53C-4E18-AE20-BF37C36BC86B}">
      <text>
        <r>
          <rPr>
            <b/>
            <sz val="9"/>
            <color indexed="81"/>
            <rFont val="Tahoma"/>
            <family val="2"/>
          </rPr>
          <t>Karin Glader:</t>
        </r>
        <r>
          <rPr>
            <sz val="9"/>
            <color indexed="81"/>
            <rFont val="Tahoma"/>
            <family val="2"/>
          </rPr>
          <t xml:space="preserve">
Krokkom</t>
        </r>
      </text>
    </comment>
    <comment ref="A57" authorId="0" shapeId="0" xr:uid="{18E73669-7A5A-401B-9732-F50D655E6745}">
      <text>
        <r>
          <rPr>
            <b/>
            <sz val="9"/>
            <color indexed="81"/>
            <rFont val="Tahoma"/>
            <family val="2"/>
          </rPr>
          <t>Karin Glader:</t>
        </r>
        <r>
          <rPr>
            <sz val="9"/>
            <color indexed="81"/>
            <rFont val="Tahoma"/>
            <family val="2"/>
          </rPr>
          <t xml:space="preserve">
Strömsund
</t>
        </r>
      </text>
    </comment>
    <comment ref="D57" authorId="0" shapeId="0" xr:uid="{44549781-E3A0-4674-A20B-290DEBF7F5C2}">
      <text>
        <r>
          <rPr>
            <b/>
            <sz val="9"/>
            <color indexed="81"/>
            <rFont val="Tahoma"/>
            <family val="2"/>
          </rPr>
          <t>Karin Glader:</t>
        </r>
        <r>
          <rPr>
            <sz val="9"/>
            <color indexed="81"/>
            <rFont val="Tahoma"/>
            <family val="2"/>
          </rPr>
          <t xml:space="preserve">
Strömsund
</t>
        </r>
      </text>
    </comment>
    <comment ref="A67" authorId="0" shapeId="0" xr:uid="{67E7378A-C496-4029-851F-77D98E872D42}">
      <text>
        <r>
          <rPr>
            <b/>
            <sz val="9"/>
            <color indexed="81"/>
            <rFont val="Tahoma"/>
            <family val="2"/>
          </rPr>
          <t>Karin Glader:</t>
        </r>
        <r>
          <rPr>
            <sz val="9"/>
            <color indexed="81"/>
            <rFont val="Tahoma"/>
            <family val="2"/>
          </rPr>
          <t xml:space="preserve">
Ragunda</t>
        </r>
      </text>
    </comment>
    <comment ref="D67" authorId="0" shapeId="0" xr:uid="{0AFCB73B-B0B6-4BEB-873B-62087E80303E}">
      <text>
        <r>
          <rPr>
            <b/>
            <sz val="9"/>
            <color indexed="81"/>
            <rFont val="Tahoma"/>
            <family val="2"/>
          </rPr>
          <t>Karin Glader:</t>
        </r>
        <r>
          <rPr>
            <sz val="9"/>
            <color indexed="81"/>
            <rFont val="Tahoma"/>
            <family val="2"/>
          </rPr>
          <t xml:space="preserve">
Ragunda</t>
        </r>
      </text>
    </comment>
    <comment ref="A74" authorId="0" shapeId="0" xr:uid="{6A59016E-44E0-485E-9FBD-A794347063DE}">
      <text>
        <r>
          <rPr>
            <b/>
            <sz val="9"/>
            <color indexed="81"/>
            <rFont val="Tahoma"/>
            <family val="2"/>
          </rPr>
          <t>Karin Glader:</t>
        </r>
        <r>
          <rPr>
            <sz val="9"/>
            <color indexed="81"/>
            <rFont val="Tahoma"/>
            <family val="2"/>
          </rPr>
          <t xml:space="preserve">
Storuman</t>
        </r>
      </text>
    </comment>
    <comment ref="D74" authorId="0" shapeId="0" xr:uid="{6A508975-F29C-4BDC-B55F-E348F4C59070}">
      <text>
        <r>
          <rPr>
            <b/>
            <sz val="9"/>
            <color indexed="81"/>
            <rFont val="Tahoma"/>
            <family val="2"/>
          </rPr>
          <t>Karin Glader:</t>
        </r>
        <r>
          <rPr>
            <sz val="9"/>
            <color indexed="81"/>
            <rFont val="Tahoma"/>
            <family val="2"/>
          </rPr>
          <t xml:space="preserve">
Storuman</t>
        </r>
      </text>
    </comment>
    <comment ref="A83" authorId="0" shapeId="0" xr:uid="{D36B492F-82D2-4AF3-B78B-312EF791B2FA}">
      <text>
        <r>
          <rPr>
            <b/>
            <sz val="9"/>
            <color indexed="81"/>
            <rFont val="Tahoma"/>
            <family val="2"/>
          </rPr>
          <t>Karin Glader:</t>
        </r>
        <r>
          <rPr>
            <sz val="9"/>
            <color indexed="81"/>
            <rFont val="Tahoma"/>
            <family val="2"/>
          </rPr>
          <t xml:space="preserve">
Hyllte</t>
        </r>
      </text>
    </comment>
    <comment ref="D83" authorId="0" shapeId="0" xr:uid="{C566E108-B22A-45DA-9AA4-E24FFD64B3A3}">
      <text>
        <r>
          <rPr>
            <b/>
            <sz val="9"/>
            <color indexed="81"/>
            <rFont val="Tahoma"/>
            <family val="2"/>
          </rPr>
          <t>Karin Glader:</t>
        </r>
        <r>
          <rPr>
            <sz val="9"/>
            <color indexed="81"/>
            <rFont val="Tahoma"/>
            <family val="2"/>
          </rPr>
          <t xml:space="preserve">
Hyllte</t>
        </r>
      </text>
    </comment>
    <comment ref="A93" authorId="0" shapeId="0" xr:uid="{6A81C183-DB9D-4E3D-89DB-A5F28F8AEEC7}">
      <text>
        <r>
          <rPr>
            <b/>
            <sz val="9"/>
            <color indexed="81"/>
            <rFont val="Tahoma"/>
            <family val="2"/>
          </rPr>
          <t>Karin Glader:</t>
        </r>
        <r>
          <rPr>
            <sz val="9"/>
            <color indexed="81"/>
            <rFont val="Tahoma"/>
            <family val="2"/>
          </rPr>
          <t xml:space="preserve">
Sollefteå</t>
        </r>
      </text>
    </comment>
    <comment ref="D93" authorId="0" shapeId="0" xr:uid="{1F86122F-222E-447A-98C4-764CBF71BEEF}">
      <text>
        <r>
          <rPr>
            <b/>
            <sz val="9"/>
            <color indexed="81"/>
            <rFont val="Tahoma"/>
            <family val="2"/>
          </rPr>
          <t>Karin Glader:</t>
        </r>
        <r>
          <rPr>
            <sz val="9"/>
            <color indexed="81"/>
            <rFont val="Tahoma"/>
            <family val="2"/>
          </rPr>
          <t xml:space="preserve">
Sollefteå</t>
        </r>
      </text>
    </comment>
    <comment ref="A195" authorId="0" shapeId="0" xr:uid="{224AFBFE-922D-425A-B595-C8505C991D0F}">
      <text>
        <r>
          <rPr>
            <b/>
            <sz val="9"/>
            <color indexed="81"/>
            <rFont val="Tahoma"/>
            <family val="2"/>
          </rPr>
          <t>Karin Glader:</t>
        </r>
        <r>
          <rPr>
            <sz val="9"/>
            <color indexed="81"/>
            <rFont val="Tahoma"/>
            <family val="2"/>
          </rPr>
          <t xml:space="preserve">
Älvkarleby</t>
        </r>
      </text>
    </comment>
    <comment ref="D195" authorId="0" shapeId="0" xr:uid="{5BA3D24C-70DB-4703-BA61-038507450FF6}">
      <text>
        <r>
          <rPr>
            <b/>
            <sz val="9"/>
            <color indexed="81"/>
            <rFont val="Tahoma"/>
            <family val="2"/>
          </rPr>
          <t>Karin Glader:</t>
        </r>
        <r>
          <rPr>
            <sz val="9"/>
            <color indexed="81"/>
            <rFont val="Tahoma"/>
            <family val="2"/>
          </rPr>
          <t xml:space="preserve">
Älvkarleby</t>
        </r>
      </text>
    </comment>
    <comment ref="A208" authorId="0" shapeId="0" xr:uid="{7FA1167B-F524-4B1F-ACEF-2292E1CB1ACE}">
      <text>
        <r>
          <rPr>
            <b/>
            <sz val="9"/>
            <color indexed="81"/>
            <rFont val="Tahoma"/>
            <family val="2"/>
          </rPr>
          <t>Karin Glader:</t>
        </r>
        <r>
          <rPr>
            <sz val="9"/>
            <color indexed="81"/>
            <rFont val="Tahoma"/>
            <family val="2"/>
          </rPr>
          <t xml:space="preserve">
Åre</t>
        </r>
      </text>
    </comment>
    <comment ref="D208" authorId="0" shapeId="0" xr:uid="{42FC700A-461E-4B57-BC58-5E7DF30923BB}">
      <text>
        <r>
          <rPr>
            <b/>
            <sz val="9"/>
            <color indexed="81"/>
            <rFont val="Tahoma"/>
            <family val="2"/>
          </rPr>
          <t>Karin Glader:</t>
        </r>
        <r>
          <rPr>
            <sz val="9"/>
            <color indexed="81"/>
            <rFont val="Tahoma"/>
            <family val="2"/>
          </rPr>
          <t xml:space="preserve">
Åre</t>
        </r>
      </text>
    </comment>
    <comment ref="A219" authorId="0" shapeId="0" xr:uid="{72EF8786-28FF-4659-A5B7-C4B61AA13B3B}">
      <text>
        <r>
          <rPr>
            <b/>
            <sz val="9"/>
            <color indexed="81"/>
            <rFont val="Tahoma"/>
            <family val="2"/>
          </rPr>
          <t>Karin Glader:</t>
        </r>
        <r>
          <rPr>
            <sz val="9"/>
            <color indexed="81"/>
            <rFont val="Tahoma"/>
            <family val="2"/>
          </rPr>
          <t xml:space="preserve">
Härjedalen</t>
        </r>
      </text>
    </comment>
    <comment ref="D219" authorId="0" shapeId="0" xr:uid="{6F3D7893-170F-4322-8C22-7BEB85115C80}">
      <text>
        <r>
          <rPr>
            <b/>
            <sz val="9"/>
            <color indexed="81"/>
            <rFont val="Tahoma"/>
            <family val="2"/>
          </rPr>
          <t>Karin Glader:</t>
        </r>
        <r>
          <rPr>
            <sz val="9"/>
            <color indexed="81"/>
            <rFont val="Tahoma"/>
            <family val="2"/>
          </rPr>
          <t xml:space="preserve">
Härjedalen</t>
        </r>
      </text>
    </comment>
    <comment ref="A221" authorId="0" shapeId="0" xr:uid="{06693F85-451E-4A79-9367-643170219EFC}">
      <text>
        <r>
          <rPr>
            <b/>
            <sz val="9"/>
            <color indexed="81"/>
            <rFont val="Tahoma"/>
            <family val="2"/>
          </rPr>
          <t>Karin Glader:</t>
        </r>
        <r>
          <rPr>
            <sz val="9"/>
            <color indexed="81"/>
            <rFont val="Tahoma"/>
            <family val="2"/>
          </rPr>
          <t xml:space="preserve">
Berg</t>
        </r>
      </text>
    </comment>
    <comment ref="D221" authorId="0" shapeId="0" xr:uid="{36658E4B-8A85-4740-8B5B-9AD90B380F1D}">
      <text>
        <r>
          <rPr>
            <b/>
            <sz val="9"/>
            <color indexed="81"/>
            <rFont val="Tahoma"/>
            <family val="2"/>
          </rPr>
          <t>Karin Glader:</t>
        </r>
        <r>
          <rPr>
            <sz val="9"/>
            <color indexed="81"/>
            <rFont val="Tahoma"/>
            <family val="2"/>
          </rPr>
          <t xml:space="preserve">
Berg</t>
        </r>
      </text>
    </comment>
    <comment ref="A249" authorId="0" shapeId="0" xr:uid="{3A876993-612C-4E30-8915-321E0ABA33C3}">
      <text>
        <r>
          <rPr>
            <b/>
            <sz val="9"/>
            <color indexed="81"/>
            <rFont val="Tahoma"/>
            <family val="2"/>
          </rPr>
          <t>Karin Glader:</t>
        </r>
        <r>
          <rPr>
            <sz val="9"/>
            <color indexed="81"/>
            <rFont val="Tahoma"/>
            <family val="2"/>
          </rPr>
          <t xml:space="preserve">
Härjedalen</t>
        </r>
      </text>
    </comment>
    <comment ref="D249" authorId="0" shapeId="0" xr:uid="{81FCDFF0-117D-4C71-ACD4-0BA265227419}">
      <text>
        <r>
          <rPr>
            <b/>
            <sz val="9"/>
            <color indexed="81"/>
            <rFont val="Tahoma"/>
            <family val="2"/>
          </rPr>
          <t>Karin Glader:</t>
        </r>
        <r>
          <rPr>
            <sz val="9"/>
            <color indexed="81"/>
            <rFont val="Tahoma"/>
            <family val="2"/>
          </rPr>
          <t xml:space="preserve">
Härjedalen</t>
        </r>
      </text>
    </comment>
    <comment ref="A253" authorId="0" shapeId="0" xr:uid="{6C2AB615-B667-4867-9E31-73B6A7B7BAE7}">
      <text>
        <r>
          <rPr>
            <b/>
            <sz val="9"/>
            <color indexed="81"/>
            <rFont val="Tahoma"/>
            <family val="2"/>
          </rPr>
          <t>Karin Glader:</t>
        </r>
        <r>
          <rPr>
            <sz val="9"/>
            <color indexed="81"/>
            <rFont val="Tahoma"/>
            <family val="2"/>
          </rPr>
          <t xml:space="preserve">
Falkenberg</t>
        </r>
      </text>
    </comment>
    <comment ref="D253" authorId="0" shapeId="0" xr:uid="{5397F07B-57AF-4077-9E14-FB8F993A8C72}">
      <text>
        <r>
          <rPr>
            <b/>
            <sz val="9"/>
            <color indexed="81"/>
            <rFont val="Tahoma"/>
            <family val="2"/>
          </rPr>
          <t>Karin Glader:</t>
        </r>
        <r>
          <rPr>
            <sz val="9"/>
            <color indexed="81"/>
            <rFont val="Tahoma"/>
            <family val="2"/>
          </rPr>
          <t xml:space="preserve">
Falkenberg</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Karin Glader</author>
  </authors>
  <commentList>
    <comment ref="P4" authorId="0" shapeId="0" xr:uid="{293777E7-CB8B-4AE8-8EC2-69BB4750C054}">
      <text>
        <r>
          <rPr>
            <sz val="9"/>
            <color indexed="81"/>
            <rFont val="Tahoma"/>
            <family val="2"/>
          </rPr>
          <t xml:space="preserve">Kolumn P: medelkorrektion över uppvärmnings-säsong. Detta för att hindra att om en varm månads medeltemperatur kan bli mindre än 0 då man tar differensen till +17grader. Då försvinner uppvärmningen på den kalla delen av månaden.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mari-liis</author>
  </authors>
  <commentList>
    <comment ref="DD359" authorId="0" shapeId="0" xr:uid="{432C3039-D4B2-40C2-936F-41BAA561DE76}">
      <text>
        <r>
          <rPr>
            <b/>
            <sz val="9"/>
            <color indexed="81"/>
            <rFont val="Tahoma"/>
            <family val="2"/>
          </rPr>
          <t>mari-liis:</t>
        </r>
        <r>
          <rPr>
            <sz val="9"/>
            <color indexed="81"/>
            <rFont val="Tahoma"/>
            <family val="2"/>
          </rPr>
          <t xml:space="preserve">
Ändrat till viktat medel av norm temp bostäder och lokaler</t>
        </r>
      </text>
    </comment>
  </commentList>
</comments>
</file>

<file path=xl/sharedStrings.xml><?xml version="1.0" encoding="utf-8"?>
<sst xmlns="http://schemas.openxmlformats.org/spreadsheetml/2006/main" count="6980" uniqueCount="1628">
  <si>
    <t>Programmerare:</t>
  </si>
  <si>
    <t>Ansvarig:</t>
  </si>
  <si>
    <t>Utvecklat av:</t>
  </si>
  <si>
    <t>Versionsnummer:</t>
  </si>
  <si>
    <t>Datum:</t>
  </si>
  <si>
    <t>CIT Energy Management AB</t>
  </si>
  <si>
    <t>Tommy Sundström</t>
  </si>
  <si>
    <t>Mari-Liis Maripuu</t>
  </si>
  <si>
    <t>GreenBuilding 8.0</t>
  </si>
  <si>
    <t>År</t>
  </si>
  <si>
    <t>Byggnad</t>
  </si>
  <si>
    <t>Klimatort</t>
  </si>
  <si>
    <t>Typ av verksamhet</t>
  </si>
  <si>
    <t>Verkninsgrad</t>
  </si>
  <si>
    <t>Fjärrvärme</t>
  </si>
  <si>
    <t>Värmepump</t>
  </si>
  <si>
    <t>Solfångare</t>
  </si>
  <si>
    <t>Solceller</t>
  </si>
  <si>
    <t>Energi till fastighetsel</t>
  </si>
  <si>
    <t>Månad</t>
  </si>
  <si>
    <t xml:space="preserve">Energieffektiva tappvarmvattenarmaturer </t>
  </si>
  <si>
    <t>Total byggnadens energianvändning</t>
  </si>
  <si>
    <t>Energi för uppvärmning</t>
  </si>
  <si>
    <t>Energi för tappvarmvatten</t>
  </si>
  <si>
    <t>Energi för komfortkyla</t>
  </si>
  <si>
    <t>Fjärrkyla</t>
  </si>
  <si>
    <t>Kompressorkyla</t>
  </si>
  <si>
    <r>
      <t>Uppmätt energianvändning kWh/m</t>
    </r>
    <r>
      <rPr>
        <b/>
        <vertAlign val="superscript"/>
        <sz val="11"/>
        <color theme="1"/>
        <rFont val="Calibri"/>
        <family val="2"/>
        <scheme val="minor"/>
      </rPr>
      <t>2</t>
    </r>
    <r>
      <rPr>
        <b/>
        <sz val="11"/>
        <color theme="1"/>
        <rFont val="Calibri"/>
        <family val="2"/>
        <scheme val="minor"/>
      </rPr>
      <t xml:space="preserve"> A</t>
    </r>
    <r>
      <rPr>
        <b/>
        <vertAlign val="subscript"/>
        <sz val="11"/>
        <color theme="1"/>
        <rFont val="Calibri"/>
        <family val="2"/>
        <scheme val="minor"/>
      </rPr>
      <t xml:space="preserve">temp </t>
    </r>
    <r>
      <rPr>
        <b/>
        <sz val="11"/>
        <color theme="1"/>
        <rFont val="Calibri"/>
        <family val="2"/>
        <scheme val="minor"/>
      </rPr>
      <t>och år</t>
    </r>
  </si>
  <si>
    <r>
      <t>Normaliserad energianvändning kWh/m</t>
    </r>
    <r>
      <rPr>
        <b/>
        <vertAlign val="superscript"/>
        <sz val="11"/>
        <color theme="1"/>
        <rFont val="Calibri"/>
        <family val="2"/>
        <scheme val="minor"/>
      </rPr>
      <t>2</t>
    </r>
    <r>
      <rPr>
        <b/>
        <sz val="11"/>
        <color theme="1"/>
        <rFont val="Calibri"/>
        <family val="2"/>
        <scheme val="minor"/>
      </rPr>
      <t xml:space="preserve"> A</t>
    </r>
    <r>
      <rPr>
        <b/>
        <vertAlign val="subscript"/>
        <sz val="11"/>
        <color theme="1"/>
        <rFont val="Calibri"/>
        <family val="2"/>
        <scheme val="minor"/>
      </rPr>
      <t xml:space="preserve">temp </t>
    </r>
    <r>
      <rPr>
        <b/>
        <sz val="11"/>
        <color theme="1"/>
        <rFont val="Calibri"/>
        <family val="2"/>
        <scheme val="minor"/>
      </rPr>
      <t>och år</t>
    </r>
  </si>
  <si>
    <t>Fördelning</t>
  </si>
  <si>
    <t>norm år</t>
  </si>
  <si>
    <t xml:space="preserve">Abisko </t>
  </si>
  <si>
    <t>Adelsö</t>
  </si>
  <si>
    <t>Ale</t>
  </si>
  <si>
    <t>Alingsås</t>
  </si>
  <si>
    <t>Älmhult</t>
  </si>
  <si>
    <t>Älvdalen</t>
  </si>
  <si>
    <t>Alvesta</t>
  </si>
  <si>
    <t>Älvsbyn</t>
  </si>
  <si>
    <t>Åmal</t>
  </si>
  <si>
    <t>Ängelholm</t>
  </si>
  <si>
    <t>Ånge</t>
  </si>
  <si>
    <t>Arboga</t>
  </si>
  <si>
    <t>Åre</t>
  </si>
  <si>
    <t>Årjang</t>
  </si>
  <si>
    <t>Arjeplog</t>
  </si>
  <si>
    <t>Arvidsjaur</t>
  </si>
  <si>
    <t>Arvika</t>
  </si>
  <si>
    <t>Åseda</t>
  </si>
  <si>
    <t>Askersund</t>
  </si>
  <si>
    <t>Åtvidaberg</t>
  </si>
  <si>
    <t>Avesta</t>
  </si>
  <si>
    <t>Båstad</t>
  </si>
  <si>
    <t>Bengtsfors</t>
  </si>
  <si>
    <t>Bjurholm</t>
  </si>
  <si>
    <t>Bjuv</t>
  </si>
  <si>
    <t>Boden</t>
  </si>
  <si>
    <t>Bollebygd</t>
  </si>
  <si>
    <t>Bollnäs</t>
  </si>
  <si>
    <t>Borås</t>
  </si>
  <si>
    <t>Borgholm</t>
  </si>
  <si>
    <t>Borlänge</t>
  </si>
  <si>
    <t xml:space="preserve">Botkyrka </t>
  </si>
  <si>
    <t>Bräcke</t>
  </si>
  <si>
    <t>Broby</t>
  </si>
  <si>
    <t>Bromölla</t>
  </si>
  <si>
    <t>Burlov</t>
  </si>
  <si>
    <t>Charlottenberg</t>
  </si>
  <si>
    <t>Danderyd</t>
  </si>
  <si>
    <t>Degerfors</t>
  </si>
  <si>
    <t xml:space="preserve">Delsbo </t>
  </si>
  <si>
    <t>Dorotea</t>
  </si>
  <si>
    <t>Edsbyn</t>
  </si>
  <si>
    <t>Ed</t>
  </si>
  <si>
    <t>Eksjö</t>
  </si>
  <si>
    <t>Emmaboda</t>
  </si>
  <si>
    <t>Enköping</t>
  </si>
  <si>
    <t>Eskilstuna</t>
  </si>
  <si>
    <t>Eslöv</t>
  </si>
  <si>
    <t>Essunga</t>
  </si>
  <si>
    <t>Fagersta</t>
  </si>
  <si>
    <t>Falkenberg</t>
  </si>
  <si>
    <t>Falköping</t>
  </si>
  <si>
    <t>Falsterbo</t>
  </si>
  <si>
    <t>Falun</t>
  </si>
  <si>
    <t>Färgelanda</t>
  </si>
  <si>
    <t>Filipstad</t>
  </si>
  <si>
    <t>Films Kyrkby</t>
  </si>
  <si>
    <t>Finspång</t>
  </si>
  <si>
    <t>Flen</t>
  </si>
  <si>
    <t xml:space="preserve">Föllinge </t>
  </si>
  <si>
    <t>Forshaga</t>
  </si>
  <si>
    <t>Fredrika</t>
  </si>
  <si>
    <t>Gäddede</t>
  </si>
  <si>
    <t>Gagnef</t>
  </si>
  <si>
    <t>Gällivare</t>
  </si>
  <si>
    <t>Gävle</t>
  </si>
  <si>
    <t>Gislaved</t>
  </si>
  <si>
    <t>Gnesta</t>
  </si>
  <si>
    <t>Göteborg</t>
  </si>
  <si>
    <t>Götene</t>
  </si>
  <si>
    <t>Grästorp</t>
  </si>
  <si>
    <t>Habo</t>
  </si>
  <si>
    <t>Hagfors</t>
  </si>
  <si>
    <t>Hällefors</t>
  </si>
  <si>
    <t>Hallsberg</t>
  </si>
  <si>
    <t>Hallstahammar</t>
  </si>
  <si>
    <t>Halmstad</t>
  </si>
  <si>
    <t>Hammarö</t>
  </si>
  <si>
    <t>Hammarstrand</t>
  </si>
  <si>
    <t>Haninge</t>
  </si>
  <si>
    <t>Haparanda</t>
  </si>
  <si>
    <t>Härnosand</t>
  </si>
  <si>
    <t>Härryda</t>
  </si>
  <si>
    <t>Hässleholm</t>
  </si>
  <si>
    <t>Hedemora</t>
  </si>
  <si>
    <t>Hede</t>
  </si>
  <si>
    <t>Helsingborg</t>
  </si>
  <si>
    <t>Hemavan</t>
  </si>
  <si>
    <t>Hemse</t>
  </si>
  <si>
    <t>Herrljunga</t>
  </si>
  <si>
    <t>Hjo</t>
  </si>
  <si>
    <t>Hofors</t>
  </si>
  <si>
    <t>Höganäs</t>
  </si>
  <si>
    <t>Hogsby</t>
  </si>
  <si>
    <t>Höör</t>
  </si>
  <si>
    <t xml:space="preserve">Hörby </t>
  </si>
  <si>
    <t>Hova</t>
  </si>
  <si>
    <t>Huddinge</t>
  </si>
  <si>
    <t>Hudiksvall</t>
  </si>
  <si>
    <t>Hultsfred</t>
  </si>
  <si>
    <t>Hyltebruk</t>
  </si>
  <si>
    <t>Järfalla</t>
  </si>
  <si>
    <t>Jokkmokk</t>
  </si>
  <si>
    <t>Jönkoping</t>
  </si>
  <si>
    <t>Junsele</t>
  </si>
  <si>
    <t>Kalix</t>
  </si>
  <si>
    <t>Kalmar</t>
  </si>
  <si>
    <t>Karesuando</t>
  </si>
  <si>
    <t>Karlsborg</t>
  </si>
  <si>
    <t>Karlshamn</t>
  </si>
  <si>
    <t>Karlskoga</t>
  </si>
  <si>
    <t>Karlskrona</t>
  </si>
  <si>
    <t>Karlstad</t>
  </si>
  <si>
    <t>Katrineholm</t>
  </si>
  <si>
    <t>Kavlinge</t>
  </si>
  <si>
    <t>Kil</t>
  </si>
  <si>
    <t>Kinna</t>
  </si>
  <si>
    <t>Kiruna</t>
  </si>
  <si>
    <t>Kisa</t>
  </si>
  <si>
    <t>Klippan</t>
  </si>
  <si>
    <t>Knivsta</t>
  </si>
  <si>
    <t>Köping</t>
  </si>
  <si>
    <t>Kopparberg</t>
  </si>
  <si>
    <t>Kramfors</t>
  </si>
  <si>
    <t>Kristianstad</t>
  </si>
  <si>
    <t>Kristinehamn</t>
  </si>
  <si>
    <t>Kumla</t>
  </si>
  <si>
    <t>Kungalv</t>
  </si>
  <si>
    <t>Kungsbacka</t>
  </si>
  <si>
    <t>Kungsör</t>
  </si>
  <si>
    <t>Kvikkjokk</t>
  </si>
  <si>
    <t>Laholm</t>
  </si>
  <si>
    <t>Landskrona</t>
  </si>
  <si>
    <t>Laxa</t>
  </si>
  <si>
    <t>Lekeberg</t>
  </si>
  <si>
    <t>Leksand</t>
  </si>
  <si>
    <t>Lerum</t>
  </si>
  <si>
    <t>Lessebo</t>
  </si>
  <si>
    <t>Lidingö</t>
  </si>
  <si>
    <t>Lidköping</t>
  </si>
  <si>
    <t>LillaEdet</t>
  </si>
  <si>
    <t>Lindesberg</t>
  </si>
  <si>
    <t>Linköping</t>
  </si>
  <si>
    <t>Ljungby</t>
  </si>
  <si>
    <t>Ljusdal</t>
  </si>
  <si>
    <t>Lomma</t>
  </si>
  <si>
    <t>Ludvika</t>
  </si>
  <si>
    <t>Luleå</t>
  </si>
  <si>
    <t>Lund</t>
  </si>
  <si>
    <t>Lycksele</t>
  </si>
  <si>
    <t>Lysekil</t>
  </si>
  <si>
    <t>Mala</t>
  </si>
  <si>
    <t xml:space="preserve">Malexander </t>
  </si>
  <si>
    <t>Malmö</t>
  </si>
  <si>
    <t>Malung</t>
  </si>
  <si>
    <t>Mariestad</t>
  </si>
  <si>
    <t>Markaryd</t>
  </si>
  <si>
    <t>Märsta</t>
  </si>
  <si>
    <t>Mellerud</t>
  </si>
  <si>
    <t>Mjölby</t>
  </si>
  <si>
    <t>Mölndal</t>
  </si>
  <si>
    <t>Mönsterås</t>
  </si>
  <si>
    <t>Mora</t>
  </si>
  <si>
    <t>Mörbylånga</t>
  </si>
  <si>
    <t>Motala</t>
  </si>
  <si>
    <t>Munkedal</t>
  </si>
  <si>
    <t>Munkfors</t>
  </si>
  <si>
    <t>Nacka</t>
  </si>
  <si>
    <t>Nässjo</t>
  </si>
  <si>
    <t>Nora</t>
  </si>
  <si>
    <t>Norberg</t>
  </si>
  <si>
    <t>Nordanstig</t>
  </si>
  <si>
    <t>Nordmaling</t>
  </si>
  <si>
    <t>Norrköping</t>
  </si>
  <si>
    <t>Norrtälje</t>
  </si>
  <si>
    <t xml:space="preserve">Norsjö </t>
  </si>
  <si>
    <t>Nybro</t>
  </si>
  <si>
    <t>Nyköping</t>
  </si>
  <si>
    <t>Nykvarn</t>
  </si>
  <si>
    <t>Nynäshamn</t>
  </si>
  <si>
    <t>Ockelbo</t>
  </si>
  <si>
    <t>Öckerö</t>
  </si>
  <si>
    <t>Ödeshög</t>
  </si>
  <si>
    <t>Olofström</t>
  </si>
  <si>
    <t>Örebro</t>
  </si>
  <si>
    <t>Örkelljunga</t>
  </si>
  <si>
    <t>Örnskoldsvik</t>
  </si>
  <si>
    <t>Orsa</t>
  </si>
  <si>
    <t>Orust</t>
  </si>
  <si>
    <t>Osby</t>
  </si>
  <si>
    <t>Oskarshamn</t>
  </si>
  <si>
    <t>Österåker</t>
  </si>
  <si>
    <t>Östersund</t>
  </si>
  <si>
    <t>Osthammar</t>
  </si>
  <si>
    <t>Östmark</t>
  </si>
  <si>
    <t>Överkalix</t>
  </si>
  <si>
    <t>Övertorneå</t>
  </si>
  <si>
    <t>Oxelosund</t>
  </si>
  <si>
    <t>Pajala</t>
  </si>
  <si>
    <t>Partille</t>
  </si>
  <si>
    <t>Pitea</t>
  </si>
  <si>
    <t>Rattvik</t>
  </si>
  <si>
    <t>Ritsem</t>
  </si>
  <si>
    <t>Robertsfors</t>
  </si>
  <si>
    <t>Ronneby</t>
  </si>
  <si>
    <t>Säffle</t>
  </si>
  <si>
    <t>Sala</t>
  </si>
  <si>
    <t>Salem</t>
  </si>
  <si>
    <t>Sälen-Högfjällshotell</t>
  </si>
  <si>
    <t>Sandviken</t>
  </si>
  <si>
    <t>Särna</t>
  </si>
  <si>
    <t>Såtenäs</t>
  </si>
  <si>
    <t>Säter</t>
  </si>
  <si>
    <t>Sävsjö</t>
  </si>
  <si>
    <t>Sigtuna</t>
  </si>
  <si>
    <t>Simrishamn</t>
  </si>
  <si>
    <t>Sjöbo</t>
  </si>
  <si>
    <t>Skara</t>
  </si>
  <si>
    <t>Skellefteå</t>
  </si>
  <si>
    <t>Skinnskatteberg</t>
  </si>
  <si>
    <t>Skövde</t>
  </si>
  <si>
    <t>Skurup</t>
  </si>
  <si>
    <t>Skutskär</t>
  </si>
  <si>
    <t>Smedjebacken</t>
  </si>
  <si>
    <t>Söderhamn</t>
  </si>
  <si>
    <t>Söderköping</t>
  </si>
  <si>
    <t>Södertälje</t>
  </si>
  <si>
    <t>Sollefteå</t>
  </si>
  <si>
    <t>Sollentuna</t>
  </si>
  <si>
    <t>Solna</t>
  </si>
  <si>
    <t>Sölvesborg</t>
  </si>
  <si>
    <t>Sorsele</t>
  </si>
  <si>
    <t>Sotenäs</t>
  </si>
  <si>
    <t>Staffanstorp</t>
  </si>
  <si>
    <t>Stenungsund</t>
  </si>
  <si>
    <t>Stockholm-Bromma</t>
  </si>
  <si>
    <t>Stockholm</t>
  </si>
  <si>
    <t>Storfors</t>
  </si>
  <si>
    <t>Storlien</t>
  </si>
  <si>
    <t>Storuman</t>
  </si>
  <si>
    <t>Strängnäs</t>
  </si>
  <si>
    <t>Strömstad</t>
  </si>
  <si>
    <t>Strömsund</t>
  </si>
  <si>
    <t>Sundbyberg</t>
  </si>
  <si>
    <t>Sundsvall</t>
  </si>
  <si>
    <t>Sunne</t>
  </si>
  <si>
    <t>Surahammar</t>
  </si>
  <si>
    <t>Svalöv</t>
  </si>
  <si>
    <t>Svedala</t>
  </si>
  <si>
    <t>Sveg</t>
  </si>
  <si>
    <t>Svenljunga</t>
  </si>
  <si>
    <t>Svenstavik</t>
  </si>
  <si>
    <t>Täby</t>
  </si>
  <si>
    <t>Tannås</t>
  </si>
  <si>
    <t>Tanum</t>
  </si>
  <si>
    <t>Tärnsjö</t>
  </si>
  <si>
    <t>Tibro</t>
  </si>
  <si>
    <t>Tidaholm</t>
  </si>
  <si>
    <t>Tierp</t>
  </si>
  <si>
    <t>Timrå</t>
  </si>
  <si>
    <t>Tingsryd</t>
  </si>
  <si>
    <t>Tjörn</t>
  </si>
  <si>
    <t>Tomelilla</t>
  </si>
  <si>
    <t>Töreboda</t>
  </si>
  <si>
    <t>Torsås</t>
  </si>
  <si>
    <t>Torsby</t>
  </si>
  <si>
    <t>Tranås</t>
  </si>
  <si>
    <t>Tranemo</t>
  </si>
  <si>
    <t>Trelleborg</t>
  </si>
  <si>
    <t>Trollhättan</t>
  </si>
  <si>
    <t>Trosa</t>
  </si>
  <si>
    <t>Tyresö</t>
  </si>
  <si>
    <t>Uddevalla</t>
  </si>
  <si>
    <t>Ullared</t>
  </si>
  <si>
    <t>Ulricehamn</t>
  </si>
  <si>
    <t>Umeå</t>
  </si>
  <si>
    <t>Upplands-Bro</t>
  </si>
  <si>
    <t>Upplands-Väsby</t>
  </si>
  <si>
    <t>Uppsala</t>
  </si>
  <si>
    <t>Vadstena</t>
  </si>
  <si>
    <t>Vaggeryd</t>
  </si>
  <si>
    <t>Valdermarsvik</t>
  </si>
  <si>
    <t>Vallentuna</t>
  </si>
  <si>
    <t>Vänersborg</t>
  </si>
  <si>
    <t>Vannas</t>
  </si>
  <si>
    <t>Vansbro</t>
  </si>
  <si>
    <t>Vara</t>
  </si>
  <si>
    <t>Varberg</t>
  </si>
  <si>
    <t>Vårgårda</t>
  </si>
  <si>
    <t>Värmdö</t>
  </si>
  <si>
    <t>Värnamo</t>
  </si>
  <si>
    <t>Västerås</t>
  </si>
  <si>
    <t>Västervik</t>
  </si>
  <si>
    <t>Växjö</t>
  </si>
  <si>
    <t>Vetlanda</t>
  </si>
  <si>
    <t>Vilhelmina</t>
  </si>
  <si>
    <t>Vimmerby</t>
  </si>
  <si>
    <t>Vindeln</t>
  </si>
  <si>
    <t>Vingåker</t>
  </si>
  <si>
    <t>Visby</t>
  </si>
  <si>
    <t>Ydre</t>
  </si>
  <si>
    <t>Ystad</t>
  </si>
  <si>
    <t>ort</t>
  </si>
  <si>
    <t>värde</t>
  </si>
  <si>
    <t>normalårkorrigerade</t>
  </si>
  <si>
    <t>sann korrektion</t>
  </si>
  <si>
    <t>trolig korrektion</t>
  </si>
  <si>
    <t>Blekinge Samtliga kommuner 0,9 ;Dalarna Avesta, Borlänge, Falun, Gagnef, Hedemora, Leksand, Ludvika, Smedjebacken och Säter 1,1;Mora, Orsa, Rättvik och Vansbro 1,2 Malung-Sälen och Älvdalen 1,3 Gotland Gotland 0,9 Gävleborg Samtliga utom Ljusdal och Ovanåker 1,1 Ljusdal och Ovanåker 1,2 Halland Samtliga utom Hylte 0,9 Hylte 1,0 Jämtland Berg, Bräcke, Krokom, Ragunda och Östersund 1,3 Härjedalen, Strömsund och Åre 1,4 Jönköping Samtliga kommuner 1,0 Kalmar Borgholm, Emmaboda, Kalmar, Mönsterås, Mörbylånga, Nybro, Oskarshamn, Torsås och Västervik 0,9 Hultsfred, Högsby och Vimmerby 1,0 Kronoberg Samtliga kommuner 1,0 Norrbotten Piteå 1,3 Boden, Haparanda, Kalix, Luleå, Älvsbyn, Överkalix och Övertorneå 1,4 Arjeplog, Arvidsjaur och Pajala 1,5 Gällivare, Jokkmokk och Kiruna 1,6 Skåne Samtliga kommuner utom Osby 0,9 Osby 1,0 Stockholm Samtliga kommuner 1,0 Södermanland Samtliga kommuner 1,0 Uppsala Samtliga utom Tierp och Älvkarleby 1,0 Tierp och Älvkarleby 1,1 Värmland Forshaga, Grums, Hammarö, Karlstad, Kil, Kristinehamn och Säffle 1,0 Övriga 1,1 Västerbotten Nordmaling och Umeå 1,2 Bjurholm, Robertsfors, Skellefteå, Vindeln och Vännäs 1,3 BFS 2017:xx BBR (B) 4 Dorotea, Lycksele, Malå, Norsjö, Vilhelmina och Åsele 1,4 Sorsele och Storuman 1,5 Västernorrland Samtliga utom Sollefteå och Ånge 1,2 Sollefteå och Ånge 1,3 Västmanland Arboga, Hallstahammar, Kungsör, Köping, Sala, Surahammar och Västerås 1,0 Fagersta, Norberg och Skinnskatteberg 1,1 Västra Götaland Bollebygd, Färgelanda, Göteborg, Härryda, Kungälv, Lerum, Lysekil, Mark, Munkedal, Mölndal, Orust, Partille, Sotenäs, Stenungsund, Strömstad, Svenljunga, Tanum, Tjörn, Uddevalla och Öckerö 0,9 Övriga 1,0 Örebro Samtliga utom Hällefors och Ljusnarsberg 1,0 Hällefors och Ljusnarsberg 1,1 Östergötland Samtliga kommuner 1,0</t>
  </si>
  <si>
    <t>Abisko</t>
  </si>
  <si>
    <t xml:space="preserve"> "Norrbottens län"</t>
  </si>
  <si>
    <t xml:space="preserve"> "Stockholms län"</t>
  </si>
  <si>
    <t xml:space="preserve"> "Västra Götalands län"</t>
  </si>
  <si>
    <t xml:space="preserve"> "Kronobergs län"</t>
  </si>
  <si>
    <t>Aneby</t>
  </si>
  <si>
    <t xml:space="preserve"> "Jönköpings län"</t>
  </si>
  <si>
    <t xml:space="preserve"> "Västmanlands län"</t>
  </si>
  <si>
    <t xml:space="preserve"> "Värmlands län"</t>
  </si>
  <si>
    <t xml:space="preserve"> "Örebro län"</t>
  </si>
  <si>
    <t xml:space="preserve"> "Dalarnas län"</t>
  </si>
  <si>
    <t xml:space="preserve"> "Västerbottens län"</t>
  </si>
  <si>
    <t xml:space="preserve"> "Skåne län"</t>
  </si>
  <si>
    <t xml:space="preserve"> "Gävleborgs län"</t>
  </si>
  <si>
    <t>Boo</t>
  </si>
  <si>
    <t xml:space="preserve"> "Kalmar län"</t>
  </si>
  <si>
    <t>Botkyrka</t>
  </si>
  <si>
    <t>Brunflo</t>
  </si>
  <si>
    <t xml:space="preserve"> "Jämtlands län"</t>
  </si>
  <si>
    <t>Burlöv</t>
  </si>
  <si>
    <t>Dals-Ed</t>
  </si>
  <si>
    <t>Delsbo</t>
  </si>
  <si>
    <t xml:space="preserve"> "Uppsala län"</t>
  </si>
  <si>
    <t xml:space="preserve"> 59.37</t>
  </si>
  <si>
    <t xml:space="preserve"> 16.499</t>
  </si>
  <si>
    <t xml:space="preserve"> "Södermanlands län"</t>
  </si>
  <si>
    <t xml:space="preserve"> "Hallands län"</t>
  </si>
  <si>
    <t xml:space="preserve"> 60.236</t>
  </si>
  <si>
    <t xml:space="preserve"> 17.907</t>
  </si>
  <si>
    <t xml:space="preserve"> "Östergötlands län"</t>
  </si>
  <si>
    <t>Furnäsdalen</t>
  </si>
  <si>
    <t>Föllinge</t>
  </si>
  <si>
    <t>Gnosjö</t>
  </si>
  <si>
    <t>Grums</t>
  </si>
  <si>
    <t>Hammerdal</t>
  </si>
  <si>
    <t>Hedby</t>
  </si>
  <si>
    <t xml:space="preserve"> "Gotlands län"</t>
  </si>
  <si>
    <t>Holmsund</t>
  </si>
  <si>
    <t>Håbo</t>
  </si>
  <si>
    <t>Härnösand</t>
  </si>
  <si>
    <t xml:space="preserve"> "Västernorrlands län"</t>
  </si>
  <si>
    <t>Högsby</t>
  </si>
  <si>
    <t>Hörby</t>
  </si>
  <si>
    <t>Hörnefors</t>
  </si>
  <si>
    <t>Järfälla</t>
  </si>
  <si>
    <t>Jönköping</t>
  </si>
  <si>
    <t>Järpen</t>
  </si>
  <si>
    <t xml:space="preserve"> "Blekinge län"</t>
  </si>
  <si>
    <t>Krokom</t>
  </si>
  <si>
    <t>Kungälv</t>
  </si>
  <si>
    <t>Kävlinge</t>
  </si>
  <si>
    <t>Kallinge</t>
  </si>
  <si>
    <t>Laxå</t>
  </si>
  <si>
    <t>Lit</t>
  </si>
  <si>
    <t>Ljungbro</t>
  </si>
  <si>
    <t>Ljusnarsberg</t>
  </si>
  <si>
    <t>Malexander</t>
  </si>
  <si>
    <t xml:space="preserve"> 55.592</t>
  </si>
  <si>
    <t xml:space="preserve"> 13.025</t>
  </si>
  <si>
    <t>Malmberget</t>
  </si>
  <si>
    <t>Malmslätt</t>
  </si>
  <si>
    <t>Malå</t>
  </si>
  <si>
    <t>Mark</t>
  </si>
  <si>
    <t>Mullsjö</t>
  </si>
  <si>
    <t>Mörrum</t>
  </si>
  <si>
    <t>Norsjö</t>
  </si>
  <si>
    <t>Nälden</t>
  </si>
  <si>
    <t>Nässjö</t>
  </si>
  <si>
    <t>Onsala</t>
  </si>
  <si>
    <t>Oxelösund</t>
  </si>
  <si>
    <t>Perstorp</t>
  </si>
  <si>
    <t>Piteå</t>
  </si>
  <si>
    <t>Rättvik</t>
  </si>
  <si>
    <t>Rödeby</t>
  </si>
  <si>
    <t>Skelleftehamn</t>
  </si>
  <si>
    <t>Skoghall</t>
  </si>
  <si>
    <t>Stenstavik</t>
  </si>
  <si>
    <t xml:space="preserve"> 58#</t>
  </si>
  <si>
    <t>Torshälla</t>
  </si>
  <si>
    <t>Tumba</t>
  </si>
  <si>
    <t>Tännäs</t>
  </si>
  <si>
    <t xml:space="preserve"> 63.826</t>
  </si>
  <si>
    <t xml:space="preserve"> 20.261</t>
  </si>
  <si>
    <t>Ursviken</t>
  </si>
  <si>
    <t>Vännäs</t>
  </si>
  <si>
    <t>Åkersberga</t>
  </si>
  <si>
    <t>Åmål</t>
  </si>
  <si>
    <t>Årjäng</t>
  </si>
  <si>
    <t>Ås</t>
  </si>
  <si>
    <t>Åstorp</t>
  </si>
  <si>
    <t>Älvkarleby</t>
  </si>
  <si>
    <t>Örnsköldsvik</t>
  </si>
  <si>
    <t xml:space="preserve"> 63.18</t>
  </si>
  <si>
    <t xml:space="preserve"> 14.629</t>
  </si>
  <si>
    <t>Östhammar</t>
  </si>
  <si>
    <t>klimatår</t>
  </si>
  <si>
    <t>lattitud</t>
  </si>
  <si>
    <t>longitud</t>
  </si>
  <si>
    <t>stationsnr</t>
  </si>
  <si>
    <t>1981-2010</t>
  </si>
  <si>
    <t>68.35569759999998</t>
  </si>
  <si>
    <t>18.8206005</t>
  </si>
  <si>
    <t>59.3580017</t>
  </si>
  <si>
    <t>17.524000199999996</t>
  </si>
  <si>
    <t>57.9159</t>
  </si>
  <si>
    <t>12.06395</t>
  </si>
  <si>
    <t>57.9280014</t>
  </si>
  <si>
    <t>12.5389996</t>
  </si>
  <si>
    <t>56.9000015</t>
  </si>
  <si>
    <t>14.555999800000002</t>
  </si>
  <si>
    <t>57.838889</t>
  </si>
  <si>
    <t>14.816111</t>
  </si>
  <si>
    <t>59.3919983</t>
  </si>
  <si>
    <t>15.8549995</t>
  </si>
  <si>
    <t>66.04900359999999</t>
  </si>
  <si>
    <t>17.8840008</t>
  </si>
  <si>
    <t>65.5920029</t>
  </si>
  <si>
    <t>19.1739998</t>
  </si>
  <si>
    <t>59.6529999</t>
  </si>
  <si>
    <t>12.6059999</t>
  </si>
  <si>
    <t>58.882999399999996</t>
  </si>
  <si>
    <t>14.913999599999999</t>
  </si>
  <si>
    <t>60.139999399999994</t>
  </si>
  <si>
    <t>16.198</t>
  </si>
  <si>
    <t>59.0320015</t>
  </si>
  <si>
    <t>12.222000099999999</t>
  </si>
  <si>
    <t>63.9300003</t>
  </si>
  <si>
    <t>19.2229996</t>
  </si>
  <si>
    <t>56.076000199999996</t>
  </si>
  <si>
    <t>12.937999699999999</t>
  </si>
  <si>
    <t>65.8199997</t>
  </si>
  <si>
    <t>21.698</t>
  </si>
  <si>
    <t>57.666667</t>
  </si>
  <si>
    <t>12.566667</t>
  </si>
  <si>
    <t>61.348999</t>
  </si>
  <si>
    <t>16.3929996</t>
  </si>
  <si>
    <t>56.88000110000001</t>
  </si>
  <si>
    <t>16.6599998</t>
  </si>
  <si>
    <t>60.473999</t>
  </si>
  <si>
    <t>15.46</t>
  </si>
  <si>
    <t>57.730999</t>
  </si>
  <si>
    <t>12.9460001</t>
  </si>
  <si>
    <t>59.1790009</t>
  </si>
  <si>
    <t>17.9130001</t>
  </si>
  <si>
    <t>56.257</t>
  </si>
  <si>
    <t>14.078000099999999</t>
  </si>
  <si>
    <t>56.07899860000001</t>
  </si>
  <si>
    <t>14.472999599999998</t>
  </si>
  <si>
    <t>62.7490005</t>
  </si>
  <si>
    <t>15.423999800000002</t>
  </si>
  <si>
    <t>55.63333299999999</t>
  </si>
  <si>
    <t>13.083333</t>
  </si>
  <si>
    <t>56.42499920000001</t>
  </si>
  <si>
    <t>12.852000199999999</t>
  </si>
  <si>
    <t>59.88600160000001</t>
  </si>
  <si>
    <t>12.3059998</t>
  </si>
  <si>
    <t>59.397222</t>
  </si>
  <si>
    <t>18.081944</t>
  </si>
  <si>
    <t>59.233333</t>
  </si>
  <si>
    <t>14.433333</t>
  </si>
  <si>
    <t>61.826999699999995</t>
  </si>
  <si>
    <t>16.541999800000006</t>
  </si>
  <si>
    <t>64.262001</t>
  </si>
  <si>
    <t>16.4179993</t>
  </si>
  <si>
    <t>58.9080009</t>
  </si>
  <si>
    <t>11.9399996</t>
  </si>
  <si>
    <t>61.36100010000001</t>
  </si>
  <si>
    <t>15.717</t>
  </si>
  <si>
    <t>57.6669998</t>
  </si>
  <si>
    <t>14.974</t>
  </si>
  <si>
    <t>56.63</t>
  </si>
  <si>
    <t>15.537778</t>
  </si>
  <si>
    <t>59.639999399999994</t>
  </si>
  <si>
    <t>17.0900002</t>
  </si>
  <si>
    <t>55.837001799999996</t>
  </si>
  <si>
    <t>13.305999800000002</t>
  </si>
  <si>
    <t>58.188889</t>
  </si>
  <si>
    <t>12.719444</t>
  </si>
  <si>
    <t>59.997001600000004</t>
  </si>
  <si>
    <t>15.809000000000001</t>
  </si>
  <si>
    <t>56.9039993</t>
  </si>
  <si>
    <t>12.5010004</t>
  </si>
  <si>
    <t>58.17300030000001</t>
  </si>
  <si>
    <t>13.5539999</t>
  </si>
  <si>
    <t>55.383998899999995</t>
  </si>
  <si>
    <t>12.819999699999999</t>
  </si>
  <si>
    <t>60.5979996</t>
  </si>
  <si>
    <t>15.6700001</t>
  </si>
  <si>
    <t>59.710998499999995</t>
  </si>
  <si>
    <t>14.1700001</t>
  </si>
  <si>
    <t>58.70500179999999</t>
  </si>
  <si>
    <t>15.772999800000004</t>
  </si>
  <si>
    <t>59.05699920000001</t>
  </si>
  <si>
    <t>16.596000699999998</t>
  </si>
  <si>
    <t>59.533333</t>
  </si>
  <si>
    <t>13.466667</t>
  </si>
  <si>
    <t>64.0749969</t>
  </si>
  <si>
    <t>18.3659992</t>
  </si>
  <si>
    <t>58.57083299999999</t>
  </si>
  <si>
    <t>11.993611</t>
  </si>
  <si>
    <t>63.67699810000001</t>
  </si>
  <si>
    <t>14.607999800000002</t>
  </si>
  <si>
    <t>60.55</t>
  </si>
  <si>
    <t>15.133333</t>
  </si>
  <si>
    <t>Gammelstad</t>
  </si>
  <si>
    <t>57.29800030000001</t>
  </si>
  <si>
    <t>13.552</t>
  </si>
  <si>
    <t>59.0429993</t>
  </si>
  <si>
    <t>17.3129997</t>
  </si>
  <si>
    <t>57.356667</t>
  </si>
  <si>
    <t>13.733889</t>
  </si>
  <si>
    <t>59.35</t>
  </si>
  <si>
    <t>13.1</t>
  </si>
  <si>
    <t>58.333333</t>
  </si>
  <si>
    <t>12.666667</t>
  </si>
  <si>
    <t>64.5039978</t>
  </si>
  <si>
    <t>17.1599998</t>
  </si>
  <si>
    <t>67.13999940000001</t>
  </si>
  <si>
    <t>20.6630001</t>
  </si>
  <si>
    <t>60.6790009</t>
  </si>
  <si>
    <t>17.183000600000003</t>
  </si>
  <si>
    <t>57.67200089999999</t>
  </si>
  <si>
    <t>11.958000199999999</t>
  </si>
  <si>
    <t>58.5250015</t>
  </si>
  <si>
    <t>13.491000199999998</t>
  </si>
  <si>
    <t>57.908611</t>
  </si>
  <si>
    <t>14.075278</t>
  </si>
  <si>
    <t>60.0340004</t>
  </si>
  <si>
    <t>13.692999800000004</t>
  </si>
  <si>
    <t>59.066667</t>
  </si>
  <si>
    <t>15.116667</t>
  </si>
  <si>
    <t>59.613611</t>
  </si>
  <si>
    <t>16.229167</t>
  </si>
  <si>
    <t>56.66999820000001</t>
  </si>
  <si>
    <t>12.866000199999998</t>
  </si>
  <si>
    <t>63.111999499999996</t>
  </si>
  <si>
    <t>16.3589993</t>
  </si>
  <si>
    <t>59.333333</t>
  </si>
  <si>
    <t>13.433333</t>
  </si>
  <si>
    <t>59.11399839999999</t>
  </si>
  <si>
    <t>18.073</t>
  </si>
  <si>
    <t>65.8330002</t>
  </si>
  <si>
    <t>24.1280003</t>
  </si>
  <si>
    <t>62.41999820000001</t>
  </si>
  <si>
    <t>13.5</t>
  </si>
  <si>
    <t>60.276001</t>
  </si>
  <si>
    <t>15.9870005</t>
  </si>
  <si>
    <t>56.0340004</t>
  </si>
  <si>
    <t>12.734000199999999</t>
  </si>
  <si>
    <t>65.7969971</t>
  </si>
  <si>
    <t>15.104000099999999</t>
  </si>
  <si>
    <t>57.2400017</t>
  </si>
  <si>
    <t>18.2800007</t>
  </si>
  <si>
    <t>58.07899860000001</t>
  </si>
  <si>
    <t>13.027999900000001</t>
  </si>
  <si>
    <t>58.3040009</t>
  </si>
  <si>
    <t>14.284000400000002</t>
  </si>
  <si>
    <t>60.55099870000001</t>
  </si>
  <si>
    <t>16.291999800000006</t>
  </si>
  <si>
    <t>58.85300060000001</t>
  </si>
  <si>
    <t>14.220000299999999</t>
  </si>
  <si>
    <t>59.20999910000001</t>
  </si>
  <si>
    <t>18.041000399999998</t>
  </si>
  <si>
    <t>61.72900010000001</t>
  </si>
  <si>
    <t>17.111000100000002</t>
  </si>
  <si>
    <t>57.4980011</t>
  </si>
  <si>
    <t>15.854000099999999</t>
  </si>
  <si>
    <t>57.0019989</t>
  </si>
  <si>
    <t>13.244999900000002</t>
  </si>
  <si>
    <t>59.567778</t>
  </si>
  <si>
    <t>17.529722</t>
  </si>
  <si>
    <t>59.76666700000001</t>
  </si>
  <si>
    <t>14.516667000000002</t>
  </si>
  <si>
    <t>62.633998899999995</t>
  </si>
  <si>
    <t>17.9319992</t>
  </si>
  <si>
    <t>12.116667</t>
  </si>
  <si>
    <t>56.1599998</t>
  </si>
  <si>
    <t>13.781000099999998</t>
  </si>
  <si>
    <t>56.2140007</t>
  </si>
  <si>
    <t>12.5579996</t>
  </si>
  <si>
    <t>57.165</t>
  </si>
  <si>
    <t>16.026944</t>
  </si>
  <si>
    <t>55.862999</t>
  </si>
  <si>
    <t>13.6689997</t>
  </si>
  <si>
    <t>55.93199920000001</t>
  </si>
  <si>
    <t>13.550000199999998</t>
  </si>
  <si>
    <t>66.6060028</t>
  </si>
  <si>
    <t>19.843000399999998</t>
  </si>
  <si>
    <t>63.6969986</t>
  </si>
  <si>
    <t>16.8719997</t>
  </si>
  <si>
    <t>59.405998200000006</t>
  </si>
  <si>
    <t>17.8689995</t>
  </si>
  <si>
    <t>57.7599983</t>
  </si>
  <si>
    <t>14.190999999999999</t>
  </si>
  <si>
    <t>65.85700229999999</t>
  </si>
  <si>
    <t>23.158000899999998</t>
  </si>
  <si>
    <t>56.6790009</t>
  </si>
  <si>
    <t>16.3540001</t>
  </si>
  <si>
    <t>68.44000240000001</t>
  </si>
  <si>
    <t>22.4909992</t>
  </si>
  <si>
    <t>58.53699870000001</t>
  </si>
  <si>
    <t>14.510000199999999</t>
  </si>
  <si>
    <t>56.18600079999999</t>
  </si>
  <si>
    <t>14.8529997</t>
  </si>
  <si>
    <t>59.32100000000001</t>
  </si>
  <si>
    <t>14.534</t>
  </si>
  <si>
    <t>56.18299870000001</t>
  </si>
  <si>
    <t>15.616999599999998</t>
  </si>
  <si>
    <t>59.387001</t>
  </si>
  <si>
    <t>13.508000400000002</t>
  </si>
  <si>
    <t>58.98600010000001</t>
  </si>
  <si>
    <t>16.1959991</t>
  </si>
  <si>
    <t>59.513000500000004</t>
  </si>
  <si>
    <t>13.319000199999998</t>
  </si>
  <si>
    <t>57.4939995</t>
  </si>
  <si>
    <t>12.687999699999999</t>
  </si>
  <si>
    <t>67.8529968</t>
  </si>
  <si>
    <t>20.2509995</t>
  </si>
  <si>
    <t>57.9900017</t>
  </si>
  <si>
    <t>15.640999800000005</t>
  </si>
  <si>
    <t>56.13600160000001</t>
  </si>
  <si>
    <t>13.1619997</t>
  </si>
  <si>
    <t>59.726111</t>
  </si>
  <si>
    <t>17.788611</t>
  </si>
  <si>
    <t>59.86600110000001</t>
  </si>
  <si>
    <t>15.024000199999998</t>
  </si>
  <si>
    <t>62.9290009</t>
  </si>
  <si>
    <t>17.798000299999995</t>
  </si>
  <si>
    <t>56.02099989999999</t>
  </si>
  <si>
    <t>14.1379995</t>
  </si>
  <si>
    <t>59.3149986</t>
  </si>
  <si>
    <t>14.109000199999995</t>
  </si>
  <si>
    <t>59.1240005</t>
  </si>
  <si>
    <t>15.1450005</t>
  </si>
  <si>
    <t>57.49100110000001</t>
  </si>
  <si>
    <t>12.079000500000001</t>
  </si>
  <si>
    <t>59.423611</t>
  </si>
  <si>
    <t>16.096110999999997</t>
  </si>
  <si>
    <t>57.8740005</t>
  </si>
  <si>
    <t>11.974</t>
  </si>
  <si>
    <t>66.9560013</t>
  </si>
  <si>
    <t>17.731000899999994</t>
  </si>
  <si>
    <t>55.7919998</t>
  </si>
  <si>
    <t>13.114999800000001</t>
  </si>
  <si>
    <t>59.51100160000001</t>
  </si>
  <si>
    <t>16.0139999</t>
  </si>
  <si>
    <t>56.50500110000001</t>
  </si>
  <si>
    <t>13.041999800000001</t>
  </si>
  <si>
    <t>55.877998399999996</t>
  </si>
  <si>
    <t>12.8369999</t>
  </si>
  <si>
    <t>58.9840012</t>
  </si>
  <si>
    <t>14.625</t>
  </si>
  <si>
    <t>59.166667</t>
  </si>
  <si>
    <t>14.866667</t>
  </si>
  <si>
    <t>60.7249985</t>
  </si>
  <si>
    <t>15.0290003</t>
  </si>
  <si>
    <t>57.77199939999999</t>
  </si>
  <si>
    <t>12.2799997</t>
  </si>
  <si>
    <t>56.7519989</t>
  </si>
  <si>
    <t>15.276</t>
  </si>
  <si>
    <t>59.36666700000001</t>
  </si>
  <si>
    <t>18.183333</t>
  </si>
  <si>
    <t>58.50400160000001</t>
  </si>
  <si>
    <t>13.151</t>
  </si>
  <si>
    <t>58.13333299999999</t>
  </si>
  <si>
    <t>12.133333</t>
  </si>
  <si>
    <t>59.5929985</t>
  </si>
  <si>
    <t>15.229000099999999</t>
  </si>
  <si>
    <t>58.4000015</t>
  </si>
  <si>
    <t>15.645999900000001</t>
  </si>
  <si>
    <t>56.83100129999999</t>
  </si>
  <si>
    <t>13.946999499999999</t>
  </si>
  <si>
    <t>61.82799910000001</t>
  </si>
  <si>
    <t>16.103000599999998</t>
  </si>
  <si>
    <t>55.666667</t>
  </si>
  <si>
    <t>15.196999499999999</t>
  </si>
  <si>
    <t>65.5889969</t>
  </si>
  <si>
    <t>22.16699980000001</t>
  </si>
  <si>
    <t>55.70500179999999</t>
  </si>
  <si>
    <t>13.199999800000002</t>
  </si>
  <si>
    <t>64.5910034</t>
  </si>
  <si>
    <t>18.691</t>
  </si>
  <si>
    <t>58.2789993</t>
  </si>
  <si>
    <t>11.4429998</t>
  </si>
  <si>
    <t>58.0719986</t>
  </si>
  <si>
    <t>15.236000099999998</t>
  </si>
  <si>
    <t>60.6809998</t>
  </si>
  <si>
    <t>13.708999599999999</t>
  </si>
  <si>
    <t>65.1839981</t>
  </si>
  <si>
    <t>18.7490005</t>
  </si>
  <si>
    <t>58.70399860000001</t>
  </si>
  <si>
    <t>13.835</t>
  </si>
  <si>
    <t>56.45999910000001</t>
  </si>
  <si>
    <t>13.600999800000002</t>
  </si>
  <si>
    <t>58.69900129999999</t>
  </si>
  <si>
    <t>12.4619999</t>
  </si>
  <si>
    <t>58.32799910000001</t>
  </si>
  <si>
    <t>15.133999800000002</t>
  </si>
  <si>
    <t>61.007999399999996</t>
  </si>
  <si>
    <t>14.5450001</t>
  </si>
  <si>
    <t>58.54499820000001</t>
  </si>
  <si>
    <t>15.041999800000005</t>
  </si>
  <si>
    <t>57.917222</t>
  </si>
  <si>
    <t>13.878889</t>
  </si>
  <si>
    <t>58.473999</t>
  </si>
  <si>
    <t>11.6850004</t>
  </si>
  <si>
    <t>59.833333</t>
  </si>
  <si>
    <t>13.533333</t>
  </si>
  <si>
    <t>59.86999889999999</t>
  </si>
  <si>
    <t>17.7229996</t>
  </si>
  <si>
    <t>57.654167</t>
  </si>
  <si>
    <t>12.019167</t>
  </si>
  <si>
    <t>57.040000899999995</t>
  </si>
  <si>
    <t>16.4419994</t>
  </si>
  <si>
    <t>56.52416700000001</t>
  </si>
  <si>
    <t>16.383611</t>
  </si>
  <si>
    <t>59.31</t>
  </si>
  <si>
    <t>18.163889</t>
  </si>
  <si>
    <t>59.51666700000001</t>
  </si>
  <si>
    <t>15.033333</t>
  </si>
  <si>
    <t>60.353</t>
  </si>
  <si>
    <t>15.5529</t>
  </si>
  <si>
    <t>61.983333</t>
  </si>
  <si>
    <t>17.066667000000002</t>
  </si>
  <si>
    <t>63.5719986</t>
  </si>
  <si>
    <t>19.5119991</t>
  </si>
  <si>
    <t>58.5919991</t>
  </si>
  <si>
    <t>16.1930008</t>
  </si>
  <si>
    <t>59.758998899999995</t>
  </si>
  <si>
    <t>18.7029991</t>
  </si>
  <si>
    <t>64.9260025</t>
  </si>
  <si>
    <t>19.3780003</t>
  </si>
  <si>
    <t>56.74599839999999</t>
  </si>
  <si>
    <t>15.906000099999998</t>
  </si>
  <si>
    <t>17.433332999999998</t>
  </si>
  <si>
    <t>58.758998899999995</t>
  </si>
  <si>
    <t>17.014999399999994</t>
  </si>
  <si>
    <t>58.9029999</t>
  </si>
  <si>
    <t>17.948</t>
  </si>
  <si>
    <t>57.6549988</t>
  </si>
  <si>
    <t>14.696999499999999</t>
  </si>
  <si>
    <t>60.89699939999999</t>
  </si>
  <si>
    <t>16.722999599999998</t>
  </si>
  <si>
    <t>56.280998200000006</t>
  </si>
  <si>
    <t>14.524000199999998</t>
  </si>
  <si>
    <t>61.12</t>
  </si>
  <si>
    <t>14.609167</t>
  </si>
  <si>
    <t>58.236111</t>
  </si>
  <si>
    <t>11.663889</t>
  </si>
  <si>
    <t>56.3769989</t>
  </si>
  <si>
    <t>14.0039997</t>
  </si>
  <si>
    <t>57.2659988</t>
  </si>
  <si>
    <t>16.4510002</t>
  </si>
  <si>
    <t>58.67300030000001</t>
  </si>
  <si>
    <t>17.0979996</t>
  </si>
  <si>
    <t>67.2139969</t>
  </si>
  <si>
    <t>23.3729992</t>
  </si>
  <si>
    <t>57.73944399999999</t>
  </si>
  <si>
    <t>12.106389</t>
  </si>
  <si>
    <t>56.137778</t>
  </si>
  <si>
    <t>13.395</t>
  </si>
  <si>
    <t>65.3030014</t>
  </si>
  <si>
    <t>21.489999800000003</t>
  </si>
  <si>
    <t>67.72599790000001</t>
  </si>
  <si>
    <t>17.472000100000002</t>
  </si>
  <si>
    <t>64.19200129999999</t>
  </si>
  <si>
    <t>20.8530006</t>
  </si>
  <si>
    <t>56.2080002</t>
  </si>
  <si>
    <t>15.277999900000001</t>
  </si>
  <si>
    <t>60.8849983</t>
  </si>
  <si>
    <t>15.1120005</t>
  </si>
  <si>
    <t>59.9169998</t>
  </si>
  <si>
    <t>16.586000400000003</t>
  </si>
  <si>
    <t>59.23883114344743</t>
  </si>
  <si>
    <t>17.689803433556005</t>
  </si>
  <si>
    <t>60.617000600000004</t>
  </si>
  <si>
    <t>16.7800007</t>
  </si>
  <si>
    <t>59.61666700000001</t>
  </si>
  <si>
    <t>17.716667</t>
  </si>
  <si>
    <t>55.55699920000001</t>
  </si>
  <si>
    <t>14.345000299999999</t>
  </si>
  <si>
    <t>55.632999399999996</t>
  </si>
  <si>
    <t>13.708000199999995</t>
  </si>
  <si>
    <t>58.382</t>
  </si>
  <si>
    <t>13.439999599999998</t>
  </si>
  <si>
    <t>64.7539978</t>
  </si>
  <si>
    <t>20.9599991</t>
  </si>
  <si>
    <t>59.83194399999999</t>
  </si>
  <si>
    <t>15.693611</t>
  </si>
  <si>
    <t>55.483333</t>
  </si>
  <si>
    <t>60.632999399999996</t>
  </si>
  <si>
    <t>17.4090004</t>
  </si>
  <si>
    <t>58.3979988</t>
  </si>
  <si>
    <t>13.857000400000002</t>
  </si>
  <si>
    <t>60.14166700000001</t>
  </si>
  <si>
    <t>15.413332999999998</t>
  </si>
  <si>
    <t>63.1669998</t>
  </si>
  <si>
    <t>17.278999300000002</t>
  </si>
  <si>
    <t>59.4449997</t>
  </si>
  <si>
    <t>17.941999399999997</t>
  </si>
  <si>
    <t>59.359444</t>
  </si>
  <si>
    <t>18.001667</t>
  </si>
  <si>
    <t>65.5350037</t>
  </si>
  <si>
    <t>17.5340004</t>
  </si>
  <si>
    <t>58.358333</t>
  </si>
  <si>
    <t>11.258333</t>
  </si>
  <si>
    <t>55.65</t>
  </si>
  <si>
    <t>13.216667</t>
  </si>
  <si>
    <t>58.073001899999994</t>
  </si>
  <si>
    <t>11.833000199999999</t>
  </si>
  <si>
    <t>LatLon:</t>
  </si>
  <si>
    <t>59.2830009</t>
  </si>
  <si>
    <t>59.35400010000001</t>
  </si>
  <si>
    <t>17.9510002</t>
  </si>
  <si>
    <t>14.266667000000002</t>
  </si>
  <si>
    <t>63.3030014</t>
  </si>
  <si>
    <t>12.125</t>
  </si>
  <si>
    <t>65.10199739999999</t>
  </si>
  <si>
    <t>17.1140003</t>
  </si>
  <si>
    <t>59.3740005</t>
  </si>
  <si>
    <t>17.023000699999994</t>
  </si>
  <si>
    <t>58.9399986</t>
  </si>
  <si>
    <t>11.1850004</t>
  </si>
  <si>
    <t>63.85300060000001</t>
  </si>
  <si>
    <t>15.564999599999998</t>
  </si>
  <si>
    <t>59.37670018508004</t>
  </si>
  <si>
    <t>17.96116881684211</t>
  </si>
  <si>
    <t>62.388000500000004</t>
  </si>
  <si>
    <t>17.3110008</t>
  </si>
  <si>
    <t>59.8390007</t>
  </si>
  <si>
    <t>13.1470003</t>
  </si>
  <si>
    <t>59.707222</t>
  </si>
  <si>
    <t>16.222222</t>
  </si>
  <si>
    <t>55.9109993</t>
  </si>
  <si>
    <t>13.109000199999995</t>
  </si>
  <si>
    <t>55.51100160000001</t>
  </si>
  <si>
    <t>13.243</t>
  </si>
  <si>
    <t>62.0359993</t>
  </si>
  <si>
    <t>14.362999900000002</t>
  </si>
  <si>
    <t>57.5</t>
  </si>
  <si>
    <t>13.116667</t>
  </si>
  <si>
    <t>62.7669983</t>
  </si>
  <si>
    <t>14.4379997</t>
  </si>
  <si>
    <t>58.43600079999999</t>
  </si>
  <si>
    <t>12.708000199999999</t>
  </si>
  <si>
    <t>59.1349983</t>
  </si>
  <si>
    <t>12.923000300000002</t>
  </si>
  <si>
    <t>61.094001799999994</t>
  </si>
  <si>
    <t>13.2309999</t>
  </si>
  <si>
    <t>61.7070007</t>
  </si>
  <si>
    <t>13.133999800000002</t>
  </si>
  <si>
    <t>60.3460007</t>
  </si>
  <si>
    <t>15.743</t>
  </si>
  <si>
    <t>57.3979988</t>
  </si>
  <si>
    <t>14.665</t>
  </si>
  <si>
    <t>61.3050003</t>
  </si>
  <si>
    <t>17.0779991</t>
  </si>
  <si>
    <t>58.4720001</t>
  </si>
  <si>
    <t>16.3409996</t>
  </si>
  <si>
    <t>59.19300079999999</t>
  </si>
  <si>
    <t>17.6329994</t>
  </si>
  <si>
    <t>56.04999920000001</t>
  </si>
  <si>
    <t>14.595000299999999</t>
  </si>
  <si>
    <t>58.733333</t>
  </si>
  <si>
    <t>11.333333</t>
  </si>
  <si>
    <t>58.416667</t>
  </si>
  <si>
    <t>14.166667000000002</t>
  </si>
  <si>
    <t>58.183333</t>
  </si>
  <si>
    <t>13.95</t>
  </si>
  <si>
    <t>60.348999</t>
  </si>
  <si>
    <t>17.5209999</t>
  </si>
  <si>
    <t>62.5</t>
  </si>
  <si>
    <t>17.333333</t>
  </si>
  <si>
    <t>56.5279999</t>
  </si>
  <si>
    <t>14.970000299999999</t>
  </si>
  <si>
    <t>58.0</t>
  </si>
  <si>
    <t>11.55</t>
  </si>
  <si>
    <t>55.54999920000001</t>
  </si>
  <si>
    <t>13.944000199999998</t>
  </si>
  <si>
    <t>60.132999399999996</t>
  </si>
  <si>
    <t>13.007</t>
  </si>
  <si>
    <t>56.4109993</t>
  </si>
  <si>
    <t>16.0030003</t>
  </si>
  <si>
    <t>57.483333</t>
  </si>
  <si>
    <t>13.35</t>
  </si>
  <si>
    <t>58.0340004</t>
  </si>
  <si>
    <t>14.979000099999999</t>
  </si>
  <si>
    <t>55.3759995</t>
  </si>
  <si>
    <t>13.1689997</t>
  </si>
  <si>
    <t>58.280998200000006</t>
  </si>
  <si>
    <t>12.296999900000001</t>
  </si>
  <si>
    <t>58.9000015</t>
  </si>
  <si>
    <t>17.5550003</t>
  </si>
  <si>
    <t>59.2490005</t>
  </si>
  <si>
    <t>18.2770004</t>
  </si>
  <si>
    <t>59.4469986</t>
  </si>
  <si>
    <t>18.0869999</t>
  </si>
  <si>
    <t>62.45000079999999</t>
  </si>
  <si>
    <t>12.6700001</t>
  </si>
  <si>
    <t>60.1599998</t>
  </si>
  <si>
    <t>16.920000100000006</t>
  </si>
  <si>
    <t>58.716667</t>
  </si>
  <si>
    <t>14.133333</t>
  </si>
  <si>
    <t>58.3470001</t>
  </si>
  <si>
    <t>11.7989998</t>
  </si>
  <si>
    <t>57.11399839999999</t>
  </si>
  <si>
    <t>12.776</t>
  </si>
  <si>
    <t>57.796001399999994</t>
  </si>
  <si>
    <t>13.4130001</t>
  </si>
  <si>
    <t>59.519001</t>
  </si>
  <si>
    <t>17.639999399999994</t>
  </si>
  <si>
    <t>17.916667</t>
  </si>
  <si>
    <t>59.8400002</t>
  </si>
  <si>
    <t>17.6410007</t>
  </si>
  <si>
    <t>58.4459991</t>
  </si>
  <si>
    <t>14.901</t>
  </si>
  <si>
    <t>57.49599839999999</t>
  </si>
  <si>
    <t>14.142000199999998</t>
  </si>
  <si>
    <t>58.20500179999999</t>
  </si>
  <si>
    <t>16.600999800000004</t>
  </si>
  <si>
    <t>59.58762501583927</t>
  </si>
  <si>
    <t>18.198388360364056</t>
  </si>
  <si>
    <t>60.508998899999995</t>
  </si>
  <si>
    <t>14.224</t>
  </si>
  <si>
    <t>58.3219986</t>
  </si>
  <si>
    <t>13.0410004</t>
  </si>
  <si>
    <t>57.106998399999995</t>
  </si>
  <si>
    <t>12.258999800000002</t>
  </si>
  <si>
    <t>Vaxholm</t>
  </si>
  <si>
    <t>59.4039993</t>
  </si>
  <si>
    <t>18.337999300000003</t>
  </si>
  <si>
    <t>57.41899870000001</t>
  </si>
  <si>
    <t>15.086000400000001</t>
  </si>
  <si>
    <t>64.6259995</t>
  </si>
  <si>
    <t>16.6560001</t>
  </si>
  <si>
    <t>57.6679993</t>
  </si>
  <si>
    <t>15.859000199999995</t>
  </si>
  <si>
    <t>64.1999969</t>
  </si>
  <si>
    <t>19.722000100000002</t>
  </si>
  <si>
    <t>59.048999800000004</t>
  </si>
  <si>
    <t>15.875</t>
  </si>
  <si>
    <t>57.6269989</t>
  </si>
  <si>
    <t>18.305999800000002</t>
  </si>
  <si>
    <t>58.033333</t>
  </si>
  <si>
    <t>12.8</t>
  </si>
  <si>
    <t>58.367000600000004</t>
  </si>
  <si>
    <t>12.323</t>
  </si>
  <si>
    <t>63.9049988</t>
  </si>
  <si>
    <t>19.7460003</t>
  </si>
  <si>
    <t>59.326999699999995</t>
  </si>
  <si>
    <t>18.389999399999997</t>
  </si>
  <si>
    <t>57.1870003</t>
  </si>
  <si>
    <t>14.045999499999999</t>
  </si>
  <si>
    <t>57.75500110000001</t>
  </si>
  <si>
    <t>16.6420002</t>
  </si>
  <si>
    <t>59.610000600000006</t>
  </si>
  <si>
    <t>16.5429993</t>
  </si>
  <si>
    <t>56.882999399999996</t>
  </si>
  <si>
    <t>14.7869997</t>
  </si>
  <si>
    <t>57.827222</t>
  </si>
  <si>
    <t>15.273889000000002</t>
  </si>
  <si>
    <t>55.43199920000001</t>
  </si>
  <si>
    <t>13.824000400000001</t>
  </si>
  <si>
    <t>59.05199810000001</t>
  </si>
  <si>
    <t>12.7049999</t>
  </si>
  <si>
    <t>62.5200005</t>
  </si>
  <si>
    <t>15.6619997</t>
  </si>
  <si>
    <t>63.4099998</t>
  </si>
  <si>
    <t>13.069999699999999</t>
  </si>
  <si>
    <t>12.1359997</t>
  </si>
  <si>
    <t>57.1679993</t>
  </si>
  <si>
    <t>15.350999800000002</t>
  </si>
  <si>
    <t>56.133889</t>
  </si>
  <si>
    <t>12.948889</t>
  </si>
  <si>
    <t>58.19900129999999</t>
  </si>
  <si>
    <t>56.56100079999999</t>
  </si>
  <si>
    <t>14.145999900000001</t>
  </si>
  <si>
    <t>61.223999</t>
  </si>
  <si>
    <t>14.0480003</t>
  </si>
  <si>
    <t>65.6760025</t>
  </si>
  <si>
    <t>21.0109997</t>
  </si>
  <si>
    <t>56.24599839999999</t>
  </si>
  <si>
    <t>12.868</t>
  </si>
  <si>
    <t>57.711111</t>
  </si>
  <si>
    <t>11.647222</t>
  </si>
  <si>
    <t>58.2299995</t>
  </si>
  <si>
    <t>14.658</t>
  </si>
  <si>
    <t>59.2729988</t>
  </si>
  <si>
    <t>15.211000400000001</t>
  </si>
  <si>
    <t>13.283</t>
  </si>
  <si>
    <t>63.2849998</t>
  </si>
  <si>
    <t>18.6949997</t>
  </si>
  <si>
    <t>59.466667</t>
  </si>
  <si>
    <t>18.316667</t>
  </si>
  <si>
    <t>60.2560005</t>
  </si>
  <si>
    <t>18.3670006</t>
  </si>
  <si>
    <t>60.3549995</t>
  </si>
  <si>
    <t>12.6490002</t>
  </si>
  <si>
    <t>66.32099910000001</t>
  </si>
  <si>
    <t>22.8479996</t>
  </si>
  <si>
    <t>66.383333</t>
  </si>
  <si>
    <t>23.666667</t>
  </si>
  <si>
    <t>Temp</t>
  </si>
  <si>
    <t>Sänkning i grader</t>
  </si>
  <si>
    <t>A,a,B,b,C,c,D,d,E,e,F,f,G,g,H,h,I,i,J,j,K,k,L,l,M,m,N,n,O,o,P,p,Q,q,R,r,S,s,T,t,U,u,V,v,W,w,X,x,Y,y,Z,z,Å,å,Ä,ä,Ö,ö</t>
  </si>
  <si>
    <t>år</t>
  </si>
  <si>
    <t>månad</t>
  </si>
  <si>
    <t>Producerad energi</t>
  </si>
  <si>
    <t>System 1</t>
  </si>
  <si>
    <t>System 2</t>
  </si>
  <si>
    <t>System 3</t>
  </si>
  <si>
    <t xml:space="preserve">Antal system </t>
  </si>
  <si>
    <t>Antal system</t>
  </si>
  <si>
    <t>Värmeproduktion</t>
  </si>
  <si>
    <t>El-panna</t>
  </si>
  <si>
    <t>Flispanna</t>
  </si>
  <si>
    <t>Gaspanna</t>
  </si>
  <si>
    <t>Pelletspanna</t>
  </si>
  <si>
    <t>Oljepanna</t>
  </si>
  <si>
    <t>Vedpanna</t>
  </si>
  <si>
    <t>Mätperiod år</t>
  </si>
  <si>
    <t>Mätperiod månad</t>
  </si>
  <si>
    <t>jan</t>
  </si>
  <si>
    <t>feb</t>
  </si>
  <si>
    <t>mars</t>
  </si>
  <si>
    <t>apr</t>
  </si>
  <si>
    <t>maj</t>
  </si>
  <si>
    <t xml:space="preserve">jun </t>
  </si>
  <si>
    <t>jul</t>
  </si>
  <si>
    <t>aug</t>
  </si>
  <si>
    <t>sept</t>
  </si>
  <si>
    <t>okt</t>
  </si>
  <si>
    <t>nov</t>
  </si>
  <si>
    <t>dec</t>
  </si>
  <si>
    <t>Viktningsfaktor</t>
  </si>
  <si>
    <t>Kylproduktion</t>
  </si>
  <si>
    <t>Levererad energi</t>
  </si>
  <si>
    <t>Avloppsåtervinning</t>
  </si>
  <si>
    <t>Egenproduktion</t>
  </si>
  <si>
    <t>Fastighetsenergi</t>
  </si>
  <si>
    <t>Försörjer</t>
  </si>
  <si>
    <t>Elgolvärme i badrum</t>
  </si>
  <si>
    <t>Typ av energiproduktion</t>
  </si>
  <si>
    <t>Egenproducerad och återvunnen energi</t>
  </si>
  <si>
    <t>Återvinning av processvärme</t>
  </si>
  <si>
    <t>Typ av system</t>
  </si>
  <si>
    <t>El</t>
  </si>
  <si>
    <t>Tillgodogjord energi</t>
  </si>
  <si>
    <t>tappvarmvatten</t>
  </si>
  <si>
    <t>värme</t>
  </si>
  <si>
    <t>fastighetsel</t>
  </si>
  <si>
    <t>komfortkyla</t>
  </si>
  <si>
    <t>Fastighetsenergi (BBR)</t>
  </si>
  <si>
    <t>Typ av rum/lokaler</t>
  </si>
  <si>
    <t>Energibärare</t>
  </si>
  <si>
    <t>TOTALT</t>
  </si>
  <si>
    <t>Biobränsle</t>
  </si>
  <si>
    <t>Gas</t>
  </si>
  <si>
    <t>Olja</t>
  </si>
  <si>
    <t>TOTALT UPPMÄTT</t>
  </si>
  <si>
    <t xml:space="preserve">Levererad energi för uppvärmning per energibärare </t>
  </si>
  <si>
    <t>Bio</t>
  </si>
  <si>
    <t>Korrigering för innetemperatur</t>
  </si>
  <si>
    <t>Korrigering för normalår</t>
  </si>
  <si>
    <t>För sammanställning av uppmätt specifik energianvändning</t>
  </si>
  <si>
    <t>För normalisering av uppmätt energianvändning</t>
  </si>
  <si>
    <t xml:space="preserve">Levererad energi för komfortkyla per energibärare </t>
  </si>
  <si>
    <t xml:space="preserve">Korrigering för tappvarmvatten </t>
  </si>
  <si>
    <t>Årsverkningsgrad</t>
  </si>
  <si>
    <t>% fördelning</t>
  </si>
  <si>
    <t>Korrigering för återvunnen processvärme</t>
  </si>
  <si>
    <t>Normaliserad energianvändning för uppvärmning inkl. VVC och elgolvvärme</t>
  </si>
  <si>
    <r>
      <t>Primärenergital kWh/m</t>
    </r>
    <r>
      <rPr>
        <b/>
        <vertAlign val="superscript"/>
        <sz val="11"/>
        <color theme="1"/>
        <rFont val="Calibri"/>
        <family val="2"/>
        <scheme val="minor"/>
      </rPr>
      <t>2</t>
    </r>
    <r>
      <rPr>
        <b/>
        <sz val="11"/>
        <color theme="1"/>
        <rFont val="Calibri"/>
        <family val="2"/>
        <scheme val="minor"/>
      </rPr>
      <t xml:space="preserve"> A</t>
    </r>
    <r>
      <rPr>
        <b/>
        <vertAlign val="subscript"/>
        <sz val="11"/>
        <color theme="1"/>
        <rFont val="Calibri"/>
        <family val="2"/>
        <scheme val="minor"/>
      </rPr>
      <t xml:space="preserve">temp </t>
    </r>
    <r>
      <rPr>
        <b/>
        <sz val="11"/>
        <color theme="1"/>
        <rFont val="Calibri"/>
        <family val="2"/>
        <scheme val="minor"/>
      </rPr>
      <t>och år</t>
    </r>
  </si>
  <si>
    <t>Mätdata</t>
  </si>
  <si>
    <t>Datum</t>
  </si>
  <si>
    <t>Korr</t>
  </si>
  <si>
    <t>normfaktor</t>
  </si>
  <si>
    <t xml:space="preserve">Innetemperatur enligt BEN för bostäder </t>
  </si>
  <si>
    <t>Ben_Bostad</t>
  </si>
  <si>
    <t>Ben_Lokal</t>
  </si>
  <si>
    <t>Korr vägt</t>
  </si>
  <si>
    <t>Korr fakt</t>
  </si>
  <si>
    <t>Innetemperatur enligt BEN för lokaler</t>
  </si>
  <si>
    <t>bostadsdel</t>
  </si>
  <si>
    <t>lokaldel</t>
  </si>
  <si>
    <t>°C</t>
  </si>
  <si>
    <t>Temp byggnad</t>
  </si>
  <si>
    <t>Övertemp byggnad</t>
  </si>
  <si>
    <t>Mätartyp</t>
  </si>
  <si>
    <t>Hjälptabell som nollar solceller och solfångare vid huvudmätare.</t>
  </si>
  <si>
    <t>% m2</t>
  </si>
  <si>
    <t>använd -&gt;</t>
  </si>
  <si>
    <r>
      <t>Normaliserad energianvändning MWh</t>
    </r>
    <r>
      <rPr>
        <b/>
        <vertAlign val="subscript"/>
        <sz val="11"/>
        <color theme="1"/>
        <rFont val="Calibri"/>
        <family val="2"/>
        <scheme val="minor"/>
      </rPr>
      <t xml:space="preserve"> </t>
    </r>
    <r>
      <rPr>
        <b/>
        <sz val="11"/>
        <color theme="1"/>
        <rFont val="Calibri"/>
        <family val="2"/>
        <scheme val="minor"/>
      </rPr>
      <t>och år</t>
    </r>
  </si>
  <si>
    <t>MWh</t>
  </si>
  <si>
    <t>Projektinformation</t>
  </si>
  <si>
    <t>Fastighetsägare</t>
  </si>
  <si>
    <t>Ansvarig för beräkningar</t>
  </si>
  <si>
    <t>Mätpunkt för mätning</t>
  </si>
  <si>
    <t>Mätpunkt</t>
  </si>
  <si>
    <t>Start av mätperiod</t>
  </si>
  <si>
    <t>Mätvärden</t>
  </si>
  <si>
    <t>Placering av mätare</t>
  </si>
  <si>
    <t>Före andra mätare</t>
  </si>
  <si>
    <t>Efter andra mätare</t>
  </si>
  <si>
    <t>RESULTAT</t>
  </si>
  <si>
    <t xml:space="preserve">Uppmätt energianvändning </t>
  </si>
  <si>
    <t xml:space="preserve">Normaliserad energianvändning </t>
  </si>
  <si>
    <r>
      <t>kWh/m</t>
    </r>
    <r>
      <rPr>
        <vertAlign val="superscript"/>
        <sz val="11"/>
        <color theme="1"/>
        <rFont val="Calibri"/>
        <family val="2"/>
        <scheme val="minor"/>
      </rPr>
      <t>2</t>
    </r>
    <r>
      <rPr>
        <sz val="11"/>
        <color theme="1"/>
        <rFont val="Calibri"/>
        <family val="2"/>
        <scheme val="minor"/>
      </rPr>
      <t xml:space="preserve"> A</t>
    </r>
    <r>
      <rPr>
        <vertAlign val="subscript"/>
        <sz val="11"/>
        <color theme="1"/>
        <rFont val="Calibri"/>
        <family val="2"/>
        <scheme val="minor"/>
      </rPr>
      <t xml:space="preserve">temp </t>
    </r>
    <r>
      <rPr>
        <sz val="11"/>
        <color theme="1"/>
        <rFont val="Calibri"/>
        <family val="2"/>
        <scheme val="minor"/>
      </rPr>
      <t>och år</t>
    </r>
  </si>
  <si>
    <r>
      <t>Uppmätt energianvändning MWh</t>
    </r>
    <r>
      <rPr>
        <b/>
        <vertAlign val="subscript"/>
        <sz val="12"/>
        <color theme="1"/>
        <rFont val="Calibri"/>
        <family val="2"/>
        <scheme val="minor"/>
      </rPr>
      <t xml:space="preserve"> </t>
    </r>
    <r>
      <rPr>
        <b/>
        <sz val="12"/>
        <color theme="1"/>
        <rFont val="Calibri"/>
        <family val="2"/>
        <scheme val="minor"/>
      </rPr>
      <t>och år</t>
    </r>
  </si>
  <si>
    <t>A</t>
  </si>
  <si>
    <t>B</t>
  </si>
  <si>
    <t>C</t>
  </si>
  <si>
    <t>D</t>
  </si>
  <si>
    <t>E</t>
  </si>
  <si>
    <t>F</t>
  </si>
  <si>
    <t>G</t>
  </si>
  <si>
    <t>min</t>
  </si>
  <si>
    <t>max</t>
  </si>
  <si>
    <t>Hushållsenergi</t>
  </si>
  <si>
    <t xml:space="preserve">Levererad energi för fastighetseenergi </t>
  </si>
  <si>
    <t xml:space="preserve">TOTALT </t>
  </si>
  <si>
    <t>Levererad energi för verksamhetsenergi</t>
  </si>
  <si>
    <t>Levererad energi för hushållsenergi</t>
  </si>
  <si>
    <t>Värdena kopieras från tabeller i vänster</t>
  </si>
  <si>
    <t>Uppmätt energi flerbostadshus (kWh/m2 Atemp)</t>
  </si>
  <si>
    <t>Norm värde bostäder (kWh/m2 Atemp)</t>
  </si>
  <si>
    <t>Icke försumbar påverkan</t>
  </si>
  <si>
    <t>Avvikelse från norm användning</t>
  </si>
  <si>
    <t>Uppvärmningssäsongens längd</t>
  </si>
  <si>
    <t>Korrigering för interna laster (bara bostäder)</t>
  </si>
  <si>
    <t>Lev energi %</t>
  </si>
  <si>
    <t>Uppvärmningssäsong</t>
  </si>
  <si>
    <t>Uppvärmningssäsong start</t>
  </si>
  <si>
    <t>Uppvärmningssäsong slut</t>
  </si>
  <si>
    <t>Månad nr</t>
  </si>
  <si>
    <t xml:space="preserve">Antal timmar </t>
  </si>
  <si>
    <t>Start</t>
  </si>
  <si>
    <t>Stop</t>
  </si>
  <si>
    <t>Antal timmar i månad</t>
  </si>
  <si>
    <t>Övertemp byggnad avrundad</t>
  </si>
  <si>
    <t>Mätmånad</t>
  </si>
  <si>
    <t>Korrigering (1/0)</t>
  </si>
  <si>
    <t>Levererad energi under uppvärmningssäsongen och % fördelning mellan uppvärmningsmånader</t>
  </si>
  <si>
    <t>Lev energi totalt</t>
  </si>
  <si>
    <t>kontrollberäkning</t>
  </si>
  <si>
    <t>dif</t>
  </si>
  <si>
    <t>Kontrollberäkning</t>
  </si>
  <si>
    <t>Korrigeringsfaktorer</t>
  </si>
  <si>
    <t>Värdena nedan visas bara om mätvärden motsvarar fastighetsenergi och följer inmatningsordning</t>
  </si>
  <si>
    <t>Tillgodogjord</t>
  </si>
  <si>
    <t>Egenproducerad energi el</t>
  </si>
  <si>
    <t>Egenproducerad energi värme</t>
  </si>
  <si>
    <t>Avlopssåtervinning</t>
  </si>
  <si>
    <t>System 4</t>
  </si>
  <si>
    <t>System 5</t>
  </si>
  <si>
    <t>TOTALT LEVERERAD</t>
  </si>
  <si>
    <t>% Fördelning producerad</t>
  </si>
  <si>
    <t>Levererad energi efter avdrag solceller</t>
  </si>
  <si>
    <t>UPPMÄTT ENERGIANVÄNDNING (KÖPT ENERGI)</t>
  </si>
  <si>
    <t>MED Fgeo</t>
  </si>
  <si>
    <t>Energi för tappvarmvatten  (exkl VVC)</t>
  </si>
  <si>
    <t>% fördelning producerad</t>
  </si>
  <si>
    <t>Totalt levererad energi efter avdrag för solel</t>
  </si>
  <si>
    <t>Indata för energiklassning</t>
  </si>
  <si>
    <t>Korrigering av producerad energi för uppvärmning (kWh/år)</t>
  </si>
  <si>
    <t>VISA RÖDA SIFFROR (BEARBETAD DATA I INDATATABELLEN)</t>
  </si>
  <si>
    <t>JA</t>
  </si>
  <si>
    <t>NEJ</t>
  </si>
  <si>
    <t>Så här fungerar det:</t>
  </si>
  <si>
    <t>Värmekälla</t>
  </si>
  <si>
    <t>Energikälla</t>
  </si>
  <si>
    <r>
      <t>A</t>
    </r>
    <r>
      <rPr>
        <b/>
        <vertAlign val="subscript"/>
        <sz val="11"/>
        <rFont val="Calibri"/>
        <family val="2"/>
        <scheme val="minor"/>
      </rPr>
      <t>temp,</t>
    </r>
    <r>
      <rPr>
        <b/>
        <sz val="11"/>
        <rFont val="Calibri"/>
        <family val="2"/>
        <scheme val="minor"/>
      </rPr>
      <t xml:space="preserve"> m</t>
    </r>
    <r>
      <rPr>
        <b/>
        <vertAlign val="superscript"/>
        <sz val="11"/>
        <rFont val="Calibri"/>
        <family val="2"/>
        <scheme val="minor"/>
      </rPr>
      <t>2</t>
    </r>
  </si>
  <si>
    <t>GreenBuilding certifiering</t>
  </si>
  <si>
    <t>Greenbuilding certifiering</t>
  </si>
  <si>
    <t>Ny byggnad</t>
  </si>
  <si>
    <t>Befintlig byggnad</t>
  </si>
  <si>
    <t>övre gräns</t>
  </si>
  <si>
    <t>Sälen</t>
  </si>
  <si>
    <t>Energi för uppvärmning exkl. VVC</t>
  </si>
  <si>
    <t>Energi för uppvärmning inkl. VVC</t>
  </si>
  <si>
    <t>Byggnadens totala energianvändning</t>
  </si>
  <si>
    <r>
      <t>Andel bostäder av</t>
    </r>
    <r>
      <rPr>
        <b/>
        <sz val="11"/>
        <color theme="1"/>
        <rFont val="Calibri"/>
        <family val="2"/>
        <scheme val="minor"/>
      </rPr>
      <t xml:space="preserve"> A</t>
    </r>
    <r>
      <rPr>
        <b/>
        <vertAlign val="subscript"/>
        <sz val="11"/>
        <color theme="1"/>
        <rFont val="Calibri"/>
        <family val="2"/>
        <scheme val="minor"/>
      </rPr>
      <t xml:space="preserve">temp </t>
    </r>
    <r>
      <rPr>
        <b/>
        <sz val="11"/>
        <color theme="1"/>
        <rFont val="Calibri"/>
        <family val="2"/>
        <scheme val="minor"/>
      </rPr>
      <t>i %</t>
    </r>
  </si>
  <si>
    <r>
      <t>Andel lokaler av A</t>
    </r>
    <r>
      <rPr>
        <b/>
        <vertAlign val="subscript"/>
        <sz val="11"/>
        <rFont val="Calibri"/>
        <family val="2"/>
        <scheme val="minor"/>
      </rPr>
      <t xml:space="preserve">temp </t>
    </r>
    <r>
      <rPr>
        <b/>
        <sz val="11"/>
        <rFont val="Calibri"/>
        <family val="2"/>
        <scheme val="minor"/>
      </rPr>
      <t>i</t>
    </r>
    <r>
      <rPr>
        <b/>
        <sz val="11"/>
        <color rgb="FFFF0000"/>
        <rFont val="Calibri"/>
        <family val="2"/>
        <scheme val="minor"/>
      </rPr>
      <t xml:space="preserve"> </t>
    </r>
    <r>
      <rPr>
        <b/>
        <sz val="11"/>
        <color theme="1"/>
        <rFont val="Calibri"/>
        <family val="2"/>
        <scheme val="minor"/>
      </rPr>
      <t>%</t>
    </r>
  </si>
  <si>
    <t>Finns ej</t>
  </si>
  <si>
    <t>Indata om byggnaden</t>
  </si>
  <si>
    <t>Finns det äldreboende i byggnaden?</t>
  </si>
  <si>
    <t>Krav på energiprestanda enligt BBR</t>
  </si>
  <si>
    <t>BBR version</t>
  </si>
  <si>
    <r>
      <t>Geografisk justeringsfaktor F</t>
    </r>
    <r>
      <rPr>
        <b/>
        <vertAlign val="subscript"/>
        <sz val="11"/>
        <rFont val="Calibri"/>
        <family val="2"/>
        <scheme val="minor"/>
      </rPr>
      <t>geo</t>
    </r>
  </si>
  <si>
    <t>Installerad eleffekt för uppvärmning och tappvarmvatten</t>
  </si>
  <si>
    <r>
      <t>kWh/m</t>
    </r>
    <r>
      <rPr>
        <vertAlign val="superscript"/>
        <sz val="11"/>
        <color theme="1"/>
        <rFont val="Calibri"/>
        <family val="2"/>
        <scheme val="minor"/>
      </rPr>
      <t>2</t>
    </r>
    <r>
      <rPr>
        <sz val="11"/>
        <color theme="1"/>
        <rFont val="Calibri"/>
        <family val="2"/>
        <scheme val="minor"/>
      </rPr>
      <t xml:space="preserve"> A</t>
    </r>
    <r>
      <rPr>
        <vertAlign val="subscript"/>
        <sz val="11"/>
        <color theme="1"/>
        <rFont val="Calibri"/>
        <family val="2"/>
        <scheme val="minor"/>
      </rPr>
      <t>temp</t>
    </r>
    <r>
      <rPr>
        <sz val="11"/>
        <color theme="1"/>
        <rFont val="Calibri"/>
        <family val="2"/>
        <scheme val="minor"/>
      </rPr>
      <t xml:space="preserve"> och år</t>
    </r>
  </si>
  <si>
    <t>Grundkrav BBR</t>
  </si>
  <si>
    <t>Luftflödestillägg</t>
  </si>
  <si>
    <t>Beräknat krav BBR</t>
  </si>
  <si>
    <t xml:space="preserve">BBR version </t>
  </si>
  <si>
    <t>Lokaler</t>
  </si>
  <si>
    <t>Flerbostadshus</t>
  </si>
  <si>
    <t>Installerad eleffekt</t>
  </si>
  <si>
    <t>BBR25</t>
  </si>
  <si>
    <r>
      <t>&gt; 10 W/m</t>
    </r>
    <r>
      <rPr>
        <vertAlign val="superscript"/>
        <sz val="11"/>
        <color theme="1"/>
        <rFont val="Calibri"/>
        <family val="2"/>
        <scheme val="minor"/>
      </rPr>
      <t>2</t>
    </r>
    <r>
      <rPr>
        <sz val="11"/>
        <color theme="1"/>
        <rFont val="Calibri"/>
        <family val="2"/>
        <scheme val="minor"/>
      </rPr>
      <t xml:space="preserve"> A</t>
    </r>
    <r>
      <rPr>
        <vertAlign val="subscript"/>
        <sz val="11"/>
        <color theme="1"/>
        <rFont val="Calibri"/>
        <family val="2"/>
        <scheme val="minor"/>
      </rPr>
      <t>temp</t>
    </r>
  </si>
  <si>
    <t>BBR29</t>
  </si>
  <si>
    <r>
      <t>&lt; 10 W/m</t>
    </r>
    <r>
      <rPr>
        <vertAlign val="superscript"/>
        <sz val="11"/>
        <color theme="1"/>
        <rFont val="Calibri"/>
        <family val="2"/>
        <scheme val="minor"/>
      </rPr>
      <t>2</t>
    </r>
    <r>
      <rPr>
        <sz val="11"/>
        <color theme="1"/>
        <rFont val="Calibri"/>
        <family val="2"/>
        <scheme val="minor"/>
      </rPr>
      <t xml:space="preserve"> A</t>
    </r>
    <r>
      <rPr>
        <vertAlign val="subscript"/>
        <sz val="11"/>
        <color theme="1"/>
        <rFont val="Calibri"/>
        <family val="2"/>
        <scheme val="minor"/>
      </rPr>
      <t>temp</t>
    </r>
  </si>
  <si>
    <r>
      <t>Finns det lägenheter med en boarea om högst 35 m</t>
    </r>
    <r>
      <rPr>
        <b/>
        <vertAlign val="superscript"/>
        <sz val="11"/>
        <color theme="1"/>
        <rFont val="Calibri"/>
        <family val="2"/>
        <scheme val="minor"/>
      </rPr>
      <t>2</t>
    </r>
    <r>
      <rPr>
        <b/>
        <sz val="11"/>
        <color theme="1"/>
        <rFont val="Calibri"/>
        <family val="2"/>
        <scheme val="minor"/>
      </rPr>
      <t xml:space="preserve"> vardera?</t>
    </r>
  </si>
  <si>
    <r>
      <t>Krav på primärenergital (EP</t>
    </r>
    <r>
      <rPr>
        <b/>
        <vertAlign val="subscript"/>
        <sz val="11"/>
        <color theme="1"/>
        <rFont val="Calibri"/>
        <family val="2"/>
        <scheme val="minor"/>
      </rPr>
      <t>pet</t>
    </r>
    <r>
      <rPr>
        <b/>
        <sz val="11"/>
        <color theme="1"/>
        <rFont val="Calibri"/>
        <family val="2"/>
        <scheme val="minor"/>
      </rPr>
      <t>) för hela byggnaden</t>
    </r>
  </si>
  <si>
    <t>Befintlig byggnad Alternativ 1</t>
  </si>
  <si>
    <t>Befintlig byggnad Alternativ 2</t>
  </si>
  <si>
    <t>Certifiering</t>
  </si>
  <si>
    <t>viktat medel BEN temp</t>
  </si>
  <si>
    <t>har justerat korrigeringen till övertemp som är större än 1 grader</t>
  </si>
  <si>
    <t>Avdrag solceller</t>
  </si>
  <si>
    <t>För månadsvis redovsining av uppmätt energianvänding (omberäkning till producerad energi för avdrag för återvunnen energi och solvärme. För avdrag solceller görs omräkning till levererad energi igen)</t>
  </si>
  <si>
    <t xml:space="preserve">Produktion av tappvarmvarmvatten </t>
  </si>
  <si>
    <t>Finns</t>
  </si>
  <si>
    <t>Mätning av VVC förluster</t>
  </si>
  <si>
    <t>Mäts separat</t>
  </si>
  <si>
    <t>Mätdata VVC</t>
  </si>
  <si>
    <t>Inkluderad i energi för uppvärmning</t>
  </si>
  <si>
    <t>Inkluderad i energi för tappvarmvatten</t>
  </si>
  <si>
    <t>Uppmätt energi för tappvarmvatten och VVC-förluster</t>
  </si>
  <si>
    <t xml:space="preserve">Uppmätt energi för uppvärmning </t>
  </si>
  <si>
    <t xml:space="preserve">Levererad energi för tappvarmvatten per energibärare </t>
  </si>
  <si>
    <t xml:space="preserve">Levererad energi för VVC per energibärare vid separat mätning </t>
  </si>
  <si>
    <t>Levererad energi för VVC per energibärare vid separat mätning eller om VVC är inkluderad i TVV</t>
  </si>
  <si>
    <t>Finns det elgolvvärme i badrum?</t>
  </si>
  <si>
    <t xml:space="preserve">Mätning av energi till elgolvvärme </t>
  </si>
  <si>
    <t>Ingår i mätdata hushållsel</t>
  </si>
  <si>
    <t>Antal badrum</t>
  </si>
  <si>
    <t>Elgolvvärme</t>
  </si>
  <si>
    <t>Månadsvikter komfortgolvvärme</t>
  </si>
  <si>
    <t>kWh/golv per månad</t>
  </si>
  <si>
    <t>% per månad</t>
  </si>
  <si>
    <t>Mätdata elgolvvärme</t>
  </si>
  <si>
    <t>Mätdata tvättstogor</t>
  </si>
  <si>
    <t>Mätdata utvändig el</t>
  </si>
  <si>
    <t>Ingår i mätdata fastighetsel</t>
  </si>
  <si>
    <r>
      <t>Uppskattad energianvändning, kWh/m</t>
    </r>
    <r>
      <rPr>
        <b/>
        <vertAlign val="superscript"/>
        <sz val="11"/>
        <color theme="1"/>
        <rFont val="Calibri"/>
        <family val="2"/>
        <scheme val="minor"/>
      </rPr>
      <t xml:space="preserve">2 </t>
    </r>
    <r>
      <rPr>
        <b/>
        <sz val="11"/>
        <color theme="1"/>
        <rFont val="Calibri"/>
        <family val="2"/>
        <scheme val="minor"/>
      </rPr>
      <t>år</t>
    </r>
  </si>
  <si>
    <t>Värdena nedan  följer inmatningsordning</t>
  </si>
  <si>
    <t>Levererad energi för fastighetsenergi (exkl elgolvvärme om det ingår I mätdata fastighetsenergi)</t>
  </si>
  <si>
    <t>Efter avdrag solceller</t>
  </si>
  <si>
    <t xml:space="preserve">Tillgänglig mätdata </t>
  </si>
  <si>
    <t>Separat mätdata finns</t>
  </si>
  <si>
    <t>Mätdata verksamhetsenergi</t>
  </si>
  <si>
    <t>Mätdata ej tillgänglig</t>
  </si>
  <si>
    <t>Verksamhetsenergi</t>
  </si>
  <si>
    <t>Uppmätt verksamhetsrelaterad energianvändning (hushållsenergi eller verksamhetsenergi)</t>
  </si>
  <si>
    <t>Värdena visas bara om mätvärden motsvarar verksamhetsenergi/hushållsenergi och följer systemordning i indatatabellen</t>
  </si>
  <si>
    <t>primärenergifaktor BBR25</t>
  </si>
  <si>
    <t>viktningsfaktor BBR29</t>
  </si>
  <si>
    <t>TOTALT PRODUCERAD MWh/år</t>
  </si>
  <si>
    <t>TOTALT LEVERERAD MWh/år</t>
  </si>
  <si>
    <t>Totalt producerad energi MWh/år</t>
  </si>
  <si>
    <t>Totalt levererad energi MWh/år</t>
  </si>
  <si>
    <t>Normaliserad energianvändning för tappvarmvatten (normvärde fördelas mellan olika energibärare efter % fördelning producerad)</t>
  </si>
  <si>
    <t>kWh/m2 år</t>
  </si>
  <si>
    <t>BIDRAG I PET BBR25 MWh/år</t>
  </si>
  <si>
    <t>BIDRAG I PET BBR29 MWh/år</t>
  </si>
  <si>
    <t>TOTALT LEVERERAD (MWh/år)</t>
  </si>
  <si>
    <t>BBR25 Om byggnaden har en installerad eleffekt för uppvärmning och tappvarmvatten som understiger 10 W/m2 multipliceras elenergi till komfortkyla med 1,875 ut-över multiplikation med primärenergifaktorn PEel för elenergi.</t>
  </si>
  <si>
    <t>&lt; 10 W/m2 Atemp</t>
  </si>
  <si>
    <t>BIDRAG I PET BBR25</t>
  </si>
  <si>
    <t>BIDRAG I PET BBR29</t>
  </si>
  <si>
    <t>Värdena visas om mätvärdena är inmatade</t>
  </si>
  <si>
    <t>per Atemp bostadsdel (om bostadsdel är mindre än 100%)</t>
  </si>
  <si>
    <t>Levererad energi för hushållsenergi exkl elgolvvärme om den är inkluderad i mätvärden</t>
  </si>
  <si>
    <t>Korrigering för återvunnen processvärme för uppvärmning (producerad energi)</t>
  </si>
  <si>
    <t>Korrigering levererad energi</t>
  </si>
  <si>
    <t>Generisk</t>
  </si>
  <si>
    <t>Specifik</t>
  </si>
  <si>
    <t>Uppvärmning</t>
  </si>
  <si>
    <t>Tappvarmvatten</t>
  </si>
  <si>
    <t>Komfortkyla</t>
  </si>
  <si>
    <t>Verksamhet</t>
  </si>
  <si>
    <t>verkningsgrad</t>
  </si>
  <si>
    <t>Levererad efter avdrag solceller</t>
  </si>
  <si>
    <t>För månadsvis redovsining av uppmätt energianvänding</t>
  </si>
  <si>
    <t>kWh/m2</t>
  </si>
  <si>
    <t>BBR version för certifiering</t>
  </si>
  <si>
    <r>
      <t>Beräknat primärenergital (EP</t>
    </r>
    <r>
      <rPr>
        <b/>
        <vertAlign val="subscript"/>
        <sz val="11"/>
        <color theme="1"/>
        <rFont val="Calibri"/>
        <family val="2"/>
        <scheme val="minor"/>
      </rPr>
      <t>pet</t>
    </r>
    <r>
      <rPr>
        <b/>
        <sz val="11"/>
        <color theme="1"/>
        <rFont val="Calibri"/>
        <family val="2"/>
        <scheme val="minor"/>
      </rPr>
      <t>)</t>
    </r>
  </si>
  <si>
    <t xml:space="preserve">Primärenergital </t>
  </si>
  <si>
    <t>Byggnadens energiprestanda och verifiering av GreenBuilding krav</t>
  </si>
  <si>
    <t>Korrigering till normal användning av varmvatten</t>
  </si>
  <si>
    <t>Korrigering på grund av avvikelser i innetemperatur</t>
  </si>
  <si>
    <t>Justering för processvärme</t>
  </si>
  <si>
    <t>Normalårskorrigering</t>
  </si>
  <si>
    <t>Korrigering på grund av avvikelser i internlaster (bara hushållsel)</t>
  </si>
  <si>
    <t>Kommentarer om normalisering av byggnadens energianvändning</t>
  </si>
  <si>
    <t>Uppmätt</t>
  </si>
  <si>
    <t>Normaliserad</t>
  </si>
  <si>
    <t>Återrapportering 1</t>
  </si>
  <si>
    <t>Återrapportering 2</t>
  </si>
  <si>
    <t>Återrapportering 3</t>
  </si>
  <si>
    <t>Återrapportering 4</t>
  </si>
  <si>
    <t>Återrapportering 5</t>
  </si>
  <si>
    <t>Återrapportering 6</t>
  </si>
  <si>
    <t>Återrapportering 7</t>
  </si>
  <si>
    <t>Referensår</t>
  </si>
  <si>
    <t>Avvikelser</t>
  </si>
  <si>
    <t>Rapporteringsår</t>
  </si>
  <si>
    <t>Byggnadens energianvändning totalt (BBR energi)</t>
  </si>
  <si>
    <t>Typ av rapportering</t>
  </si>
  <si>
    <t>STATISTIK</t>
  </si>
  <si>
    <r>
      <t>Verksamhetsrelaterad energianvändning (redovisas per area andel i A</t>
    </r>
    <r>
      <rPr>
        <i/>
        <vertAlign val="subscript"/>
        <sz val="11"/>
        <color theme="1"/>
        <rFont val="Calibri"/>
        <family val="2"/>
        <scheme val="minor"/>
      </rPr>
      <t>temp</t>
    </r>
    <r>
      <rPr>
        <i/>
        <sz val="11"/>
        <color theme="1"/>
        <rFont val="Calibri"/>
        <family val="2"/>
        <scheme val="minor"/>
      </rPr>
      <t>)</t>
    </r>
  </si>
  <si>
    <r>
      <t>Beräknat primärenergital (EP</t>
    </r>
    <r>
      <rPr>
        <vertAlign val="subscript"/>
        <sz val="11"/>
        <color theme="1"/>
        <rFont val="Calibri"/>
        <family val="2"/>
        <scheme val="minor"/>
      </rPr>
      <t>pet</t>
    </r>
    <r>
      <rPr>
        <sz val="11"/>
        <color theme="1"/>
        <rFont val="Calibri"/>
        <family val="2"/>
        <scheme val="minor"/>
      </rPr>
      <t>), kWh/m</t>
    </r>
    <r>
      <rPr>
        <vertAlign val="superscript"/>
        <sz val="11"/>
        <color theme="1"/>
        <rFont val="Calibri"/>
        <family val="2"/>
        <scheme val="minor"/>
      </rPr>
      <t>2</t>
    </r>
    <r>
      <rPr>
        <sz val="11"/>
        <color theme="1"/>
        <rFont val="Calibri"/>
        <family val="2"/>
        <scheme val="minor"/>
      </rPr>
      <t xml:space="preserve"> A</t>
    </r>
    <r>
      <rPr>
        <vertAlign val="subscript"/>
        <sz val="11"/>
        <color theme="1"/>
        <rFont val="Calibri"/>
        <family val="2"/>
        <scheme val="minor"/>
      </rPr>
      <t>temp</t>
    </r>
    <r>
      <rPr>
        <sz val="11"/>
        <color theme="1"/>
        <rFont val="Calibri"/>
        <family val="2"/>
        <scheme val="minor"/>
      </rPr>
      <t xml:space="preserve"> och år</t>
    </r>
  </si>
  <si>
    <t>Kriterier uppfylls</t>
  </si>
  <si>
    <t>Rapporteringsperiod</t>
  </si>
  <si>
    <t>Förluster för varmvattencirkulation (VVC-förluster)</t>
  </si>
  <si>
    <t>Uppmätt energi för komfortkyla</t>
  </si>
  <si>
    <t>Uppmätt energi för fastighetsenergi (BBR)</t>
  </si>
  <si>
    <t>Uppmätt tillgodogjord egenproducerad/ återvunnen energi</t>
  </si>
  <si>
    <t>Uppmätt inomhustemperatur under uppvärmningssäsongen</t>
  </si>
  <si>
    <r>
      <t>Areaandel  av totala A</t>
    </r>
    <r>
      <rPr>
        <b/>
        <vertAlign val="subscript"/>
        <sz val="11"/>
        <color theme="1"/>
        <rFont val="Calibri"/>
        <family val="2"/>
        <scheme val="minor"/>
      </rPr>
      <t>temp</t>
    </r>
    <r>
      <rPr>
        <b/>
        <sz val="11"/>
        <color theme="1"/>
        <rFont val="Calibri"/>
        <family val="2"/>
        <scheme val="minor"/>
      </rPr>
      <t xml:space="preserve"> i %</t>
    </r>
  </si>
  <si>
    <t>Uppmätt genomsnittlig inomhustemperatur, °C</t>
  </si>
  <si>
    <t>Genomsnittlig inomhustemperatur, °C</t>
  </si>
  <si>
    <t>Normal inomhustemperatur bostäder, °C</t>
  </si>
  <si>
    <t>Normal inomhustemperatur lokaler, °C</t>
  </si>
  <si>
    <t>Kommentarer om mätdata</t>
  </si>
  <si>
    <t>INDATA OM BYGGNADEN OCH KRAV PÅ ENERGIPRESTANDA ENLIGT BBR</t>
  </si>
  <si>
    <r>
      <t>Byggnadens area A</t>
    </r>
    <r>
      <rPr>
        <b/>
        <vertAlign val="subscript"/>
        <sz val="11"/>
        <rFont val="Calibri"/>
        <family val="2"/>
        <scheme val="minor"/>
      </rPr>
      <t>temp</t>
    </r>
    <r>
      <rPr>
        <b/>
        <sz val="11"/>
        <rFont val="Calibri"/>
        <family val="2"/>
        <scheme val="minor"/>
      </rPr>
      <t xml:space="preserve"> i m</t>
    </r>
    <r>
      <rPr>
        <b/>
        <vertAlign val="superscript"/>
        <sz val="11"/>
        <rFont val="Calibri"/>
        <family val="2"/>
        <scheme val="minor"/>
      </rPr>
      <t>2</t>
    </r>
  </si>
  <si>
    <r>
      <t>Maximalt hygieniskt uteluftsflöde, l/s m</t>
    </r>
    <r>
      <rPr>
        <b/>
        <vertAlign val="superscript"/>
        <sz val="11"/>
        <color theme="1"/>
        <rFont val="Calibri"/>
        <family val="2"/>
        <scheme val="minor"/>
      </rPr>
      <t>2</t>
    </r>
    <r>
      <rPr>
        <b/>
        <sz val="11"/>
        <color theme="1"/>
        <rFont val="Calibri"/>
        <family val="2"/>
        <scheme val="minor"/>
      </rPr>
      <t xml:space="preserve"> A</t>
    </r>
    <r>
      <rPr>
        <b/>
        <vertAlign val="subscript"/>
        <sz val="11"/>
        <color theme="1"/>
        <rFont val="Calibri"/>
        <family val="2"/>
        <scheme val="minor"/>
      </rPr>
      <t>temp</t>
    </r>
  </si>
  <si>
    <t>Ventilationens drifttid, h/ vecka</t>
  </si>
  <si>
    <r>
      <t>Genomsnittligt uteluftsflöde q</t>
    </r>
    <r>
      <rPr>
        <b/>
        <vertAlign val="subscript"/>
        <sz val="11"/>
        <color theme="1"/>
        <rFont val="Calibri"/>
        <family val="2"/>
        <scheme val="minor"/>
      </rPr>
      <t>medel</t>
    </r>
    <r>
      <rPr>
        <b/>
        <sz val="11"/>
        <color theme="1"/>
        <rFont val="Calibri"/>
        <family val="2"/>
        <scheme val="minor"/>
      </rPr>
      <t>, , l/s m</t>
    </r>
    <r>
      <rPr>
        <b/>
        <vertAlign val="superscript"/>
        <sz val="11"/>
        <color theme="1"/>
        <rFont val="Calibri"/>
        <family val="2"/>
        <scheme val="minor"/>
      </rPr>
      <t>2</t>
    </r>
    <r>
      <rPr>
        <b/>
        <sz val="11"/>
        <color theme="1"/>
        <rFont val="Calibri"/>
        <family val="2"/>
        <scheme val="minor"/>
      </rPr>
      <t xml:space="preserve"> A</t>
    </r>
    <r>
      <rPr>
        <b/>
        <vertAlign val="subscript"/>
        <sz val="11"/>
        <color theme="1"/>
        <rFont val="Calibri"/>
        <family val="2"/>
        <scheme val="minor"/>
      </rPr>
      <t>temp</t>
    </r>
  </si>
  <si>
    <r>
      <t>Krav på primärenergital (EP</t>
    </r>
    <r>
      <rPr>
        <b/>
        <vertAlign val="subscript"/>
        <sz val="11"/>
        <color theme="1"/>
        <rFont val="Calibri"/>
        <family val="2"/>
        <scheme val="minor"/>
      </rPr>
      <t>pet</t>
    </r>
    <r>
      <rPr>
        <b/>
        <sz val="11"/>
        <color theme="1"/>
        <rFont val="Calibri"/>
        <family val="2"/>
        <scheme val="minor"/>
      </rPr>
      <t>), kWh/m</t>
    </r>
    <r>
      <rPr>
        <b/>
        <vertAlign val="superscript"/>
        <sz val="11"/>
        <color theme="1"/>
        <rFont val="Calibri"/>
        <family val="2"/>
        <scheme val="minor"/>
      </rPr>
      <t>2</t>
    </r>
    <r>
      <rPr>
        <b/>
        <sz val="11"/>
        <color theme="1"/>
        <rFont val="Calibri"/>
        <family val="2"/>
        <scheme val="minor"/>
      </rPr>
      <t xml:space="preserve"> A</t>
    </r>
    <r>
      <rPr>
        <b/>
        <vertAlign val="subscript"/>
        <sz val="11"/>
        <color theme="1"/>
        <rFont val="Calibri"/>
        <family val="2"/>
        <scheme val="minor"/>
      </rPr>
      <t xml:space="preserve">temp </t>
    </r>
    <r>
      <rPr>
        <b/>
        <sz val="11"/>
        <color theme="1"/>
        <rFont val="Calibri"/>
        <family val="2"/>
        <scheme val="minor"/>
      </rPr>
      <t>och år</t>
    </r>
  </si>
  <si>
    <t>Emissionsfaktorer</t>
  </si>
  <si>
    <t>Energislag</t>
  </si>
  <si>
    <t>Specifik data</t>
  </si>
  <si>
    <t>Underlag för emissionsfaktorer</t>
  </si>
  <si>
    <t>Funktionell enhet</t>
  </si>
  <si>
    <r>
      <t>kgCO</t>
    </r>
    <r>
      <rPr>
        <vertAlign val="subscript"/>
        <sz val="11"/>
        <color theme="1"/>
        <rFont val="Calibri"/>
        <family val="2"/>
        <scheme val="minor"/>
      </rPr>
      <t>2</t>
    </r>
    <r>
      <rPr>
        <sz val="11"/>
        <color theme="1"/>
        <rFont val="Calibri"/>
        <family val="2"/>
        <scheme val="minor"/>
      </rPr>
      <t>e/m</t>
    </r>
    <r>
      <rPr>
        <vertAlign val="superscript"/>
        <sz val="11"/>
        <color theme="1"/>
        <rFont val="Calibri"/>
        <family val="2"/>
        <scheme val="minor"/>
      </rPr>
      <t>2</t>
    </r>
    <r>
      <rPr>
        <sz val="11"/>
        <color theme="1"/>
        <rFont val="Calibri"/>
        <family val="2"/>
        <scheme val="minor"/>
      </rPr>
      <t xml:space="preserve"> BTA </t>
    </r>
  </si>
  <si>
    <t>Generisk data</t>
  </si>
  <si>
    <t>rosa celler visar felmeddelanden om värden blir negativa</t>
  </si>
  <si>
    <t>VV</t>
  </si>
  <si>
    <t>kyla</t>
  </si>
  <si>
    <t xml:space="preserve">För månadsvis redovsining av uppmätt energianvänding </t>
  </si>
  <si>
    <t>kWh/m2 Atemp lokal area</t>
  </si>
  <si>
    <t>per Atemp lokaldel (om lokaldel är mindre än 100%)</t>
  </si>
  <si>
    <t xml:space="preserve"> - </t>
  </si>
  <si>
    <t>TOTALT PRODUCERAD (MWh/år)</t>
  </si>
  <si>
    <t>Producerad energi med avdrag solvärme (MWh/år)</t>
  </si>
  <si>
    <t>Producerad energi med avdrag återvunnen energi (MWh/år)</t>
  </si>
  <si>
    <t>Totalt levererad energi efter avdrag ovan (MWh/år)</t>
  </si>
  <si>
    <t>Levererad energi efter avdrag solceller (MWh/år)</t>
  </si>
  <si>
    <t>Om andel bostäder är 0% ska hushållsenergi vara 0 oavsett vad som har matats in</t>
  </si>
  <si>
    <t>Om andel lokaler är 0% ska hushållsenergi vara 0 oavsett vad som har matats in</t>
  </si>
  <si>
    <t>Levererad energi efter tillägg för elgolvvärme (MWh/år)</t>
  </si>
  <si>
    <t>TOTALT LEVERERAD (inkl VVC och elgolvvärme) (MWh/år)</t>
  </si>
  <si>
    <t>BIDRAG I PET BBR25 (MWh/år)</t>
  </si>
  <si>
    <t>BIDRAG I PET BBR29 (MWh/år)</t>
  </si>
  <si>
    <t>Energi elgolvvärme i bostäder (om finns)</t>
  </si>
  <si>
    <t>Levererad energi för fastighetsenergi (inga avdrag för elgolvvärme)</t>
  </si>
  <si>
    <t>Siffror visar antigen uppmätta värden eller schablonvärden. Värdet är 0 om andel bostäder är 0%</t>
  </si>
  <si>
    <t>Värdet är 0 om andel bostäder är 0</t>
  </si>
  <si>
    <t>För Ny byggnad och befintlig byggnad Alternativ 2</t>
  </si>
  <si>
    <t>För befintlig byggnad Alternativ 1</t>
  </si>
  <si>
    <t>Producerad energi med avdrag avloppsåtervinning (MWh/år)</t>
  </si>
  <si>
    <t>Ingen avdrag för solceller</t>
  </si>
  <si>
    <t>Ingen avdrag för solel</t>
  </si>
  <si>
    <t>För befintlig byggnad Alternativ 1 gäller BBR vid certifieringstillfället, så beräkning ska vara enligt BBR29 eller senare</t>
  </si>
  <si>
    <r>
      <t>Emissionsfaktorer kgCO</t>
    </r>
    <r>
      <rPr>
        <vertAlign val="subscript"/>
        <sz val="11"/>
        <color theme="1"/>
        <rFont val="Calibri"/>
        <family val="2"/>
        <scheme val="minor"/>
      </rPr>
      <t>2</t>
    </r>
    <r>
      <rPr>
        <sz val="11"/>
        <color theme="1"/>
        <rFont val="Calibri"/>
        <family val="2"/>
        <scheme val="minor"/>
      </rPr>
      <t>/kWh</t>
    </r>
  </si>
  <si>
    <t>Beräkning av klimatpåverkan</t>
  </si>
  <si>
    <t>Beräkningsperiod, år</t>
  </si>
  <si>
    <t>Emissionsfaktorer kgCO2/kWh</t>
  </si>
  <si>
    <t>NORMALISERAD ENERGIANVÄNDNING och PRIMÄRENERGITAL</t>
  </si>
  <si>
    <t>NORMALISERAD ENERGIANVÄNDNING OCH PRIMÄRENERGITAL</t>
  </si>
  <si>
    <t>Ingår  I sammanställningen på resultatsida</t>
  </si>
  <si>
    <t>Referensår (gäller för befintlig byggnad Alternativ 1)</t>
  </si>
  <si>
    <t>Miljöpåverkan</t>
  </si>
  <si>
    <t xml:space="preserve"> Ny byggnad och befintlig byggnad Alternativ 2</t>
  </si>
  <si>
    <t>Normaliserad energianvändning i drift</t>
  </si>
  <si>
    <t>KLIMATPÅVERKAN</t>
  </si>
  <si>
    <t>Klimatpåverkan i kgCO2 e/m2 BTA</t>
  </si>
  <si>
    <t>Byggnadens energianvändning (BBR energi) i drift</t>
  </si>
  <si>
    <t>Korrigeringar för normalisering av byggnadens energianvändning i drift</t>
  </si>
  <si>
    <t>Byggnadens uppmätt energianvändning (BBR energi) i drift</t>
  </si>
  <si>
    <r>
      <t>kWh/m</t>
    </r>
    <r>
      <rPr>
        <vertAlign val="superscript"/>
        <sz val="11"/>
        <color theme="1"/>
        <rFont val="Calibri"/>
        <family val="2"/>
        <scheme val="minor"/>
      </rPr>
      <t>2</t>
    </r>
    <r>
      <rPr>
        <sz val="11"/>
        <color theme="1"/>
        <rFont val="Calibri"/>
        <family val="2"/>
        <scheme val="minor"/>
      </rPr>
      <t xml:space="preserve"> A</t>
    </r>
    <r>
      <rPr>
        <vertAlign val="subscript"/>
        <sz val="11"/>
        <color theme="1"/>
        <rFont val="Calibri"/>
        <family val="2"/>
        <scheme val="minor"/>
      </rPr>
      <t xml:space="preserve">temp </t>
    </r>
  </si>
  <si>
    <t xml:space="preserve">UPPMÄTT ENERGIANVÄNDNING </t>
  </si>
  <si>
    <t>Klimatpåverkan av energianvändningen i drift</t>
  </si>
  <si>
    <t>UPPMÄTT ENERGIANVÄNDNING UNDER REFERENSÅRET</t>
  </si>
  <si>
    <t>Energianvändning i drift</t>
  </si>
  <si>
    <t>Energianvändning under referensåret</t>
  </si>
  <si>
    <t>Normaliserad energianvändning referensår</t>
  </si>
  <si>
    <r>
      <t xml:space="preserve">Klimatpåverkan av energianvändningen </t>
    </r>
    <r>
      <rPr>
        <i/>
        <sz val="11"/>
        <color theme="1"/>
        <rFont val="Calibri"/>
        <family val="2"/>
        <scheme val="minor"/>
      </rPr>
      <t>referensår</t>
    </r>
  </si>
  <si>
    <r>
      <t>Emissionsfaktorer kgCO</t>
    </r>
    <r>
      <rPr>
        <b/>
        <vertAlign val="subscript"/>
        <sz val="11"/>
        <color theme="1"/>
        <rFont val="Calibri"/>
        <family val="2"/>
        <scheme val="minor"/>
      </rPr>
      <t>2</t>
    </r>
    <r>
      <rPr>
        <b/>
        <sz val="11"/>
        <color theme="1"/>
        <rFont val="Calibri"/>
        <family val="2"/>
        <scheme val="minor"/>
      </rPr>
      <t>/MWh</t>
    </r>
  </si>
  <si>
    <t>Klimatpåverkan av levererad (köpt) energianvändning</t>
  </si>
  <si>
    <r>
      <t>Byggnadens bruttoarea BTA, m</t>
    </r>
    <r>
      <rPr>
        <b/>
        <vertAlign val="superscript"/>
        <sz val="11"/>
        <color theme="1"/>
        <rFont val="Calibri"/>
        <family val="2"/>
        <scheme val="minor"/>
      </rPr>
      <t>2</t>
    </r>
  </si>
  <si>
    <r>
      <t>kgCO</t>
    </r>
    <r>
      <rPr>
        <vertAlign val="subscript"/>
        <sz val="11"/>
        <color theme="1"/>
        <rFont val="Calibri"/>
        <family val="2"/>
        <scheme val="minor"/>
      </rPr>
      <t>2</t>
    </r>
    <r>
      <rPr>
        <sz val="11"/>
        <color theme="1"/>
        <rFont val="Calibri"/>
        <family val="2"/>
        <scheme val="minor"/>
      </rPr>
      <t>e/m</t>
    </r>
    <r>
      <rPr>
        <vertAlign val="superscript"/>
        <sz val="11"/>
        <color theme="1"/>
        <rFont val="Calibri"/>
        <family val="2"/>
        <scheme val="minor"/>
      </rPr>
      <t>2</t>
    </r>
    <r>
      <rPr>
        <sz val="11"/>
        <color theme="1"/>
        <rFont val="Calibri"/>
        <family val="2"/>
        <scheme val="minor"/>
      </rPr>
      <t xml:space="preserve"> BTA,  kgCO</t>
    </r>
    <r>
      <rPr>
        <vertAlign val="subscript"/>
        <sz val="11"/>
        <color theme="1"/>
        <rFont val="Calibri"/>
        <family val="2"/>
        <scheme val="minor"/>
      </rPr>
      <t>2</t>
    </r>
    <r>
      <rPr>
        <sz val="11"/>
        <color theme="1"/>
        <rFont val="Calibri"/>
        <family val="2"/>
        <scheme val="minor"/>
      </rPr>
      <t>e/m</t>
    </r>
    <r>
      <rPr>
        <vertAlign val="superscript"/>
        <sz val="11"/>
        <color theme="1"/>
        <rFont val="Calibri"/>
        <family val="2"/>
        <scheme val="minor"/>
      </rPr>
      <t>2</t>
    </r>
    <r>
      <rPr>
        <sz val="11"/>
        <color theme="1"/>
        <rFont val="Calibri"/>
        <family val="2"/>
        <scheme val="minor"/>
      </rPr>
      <t xml:space="preserve"> A</t>
    </r>
    <r>
      <rPr>
        <vertAlign val="subscript"/>
        <sz val="11"/>
        <color theme="1"/>
        <rFont val="Calibri"/>
        <family val="2"/>
        <scheme val="minor"/>
      </rPr>
      <t>temp</t>
    </r>
    <r>
      <rPr>
        <sz val="11"/>
        <color theme="1"/>
        <rFont val="Calibri"/>
        <family val="2"/>
        <scheme val="minor"/>
      </rPr>
      <t>,  kgCO</t>
    </r>
    <r>
      <rPr>
        <vertAlign val="subscript"/>
        <sz val="11"/>
        <color theme="1"/>
        <rFont val="Calibri"/>
        <family val="2"/>
        <scheme val="minor"/>
      </rPr>
      <t>2</t>
    </r>
    <r>
      <rPr>
        <sz val="11"/>
        <color theme="1"/>
        <rFont val="Calibri"/>
        <family val="2"/>
        <scheme val="minor"/>
      </rPr>
      <t>e/m</t>
    </r>
    <r>
      <rPr>
        <vertAlign val="superscript"/>
        <sz val="11"/>
        <color theme="1"/>
        <rFont val="Calibri"/>
        <family val="2"/>
        <scheme val="minor"/>
      </rPr>
      <t xml:space="preserve">2 </t>
    </r>
    <r>
      <rPr>
        <sz val="11"/>
        <color theme="1"/>
        <rFont val="Calibri"/>
        <family val="2"/>
        <scheme val="minor"/>
      </rPr>
      <t>BTA och år</t>
    </r>
  </si>
  <si>
    <t>Primärenergital MWh/år</t>
  </si>
  <si>
    <t xml:space="preserve">Levererad energi för uppvärmning per energibärare inkl VVC förluster </t>
  </si>
  <si>
    <t>(om förluster ingår i VV mätning eller mäts separat, annars blir tabellen samma som till vänster)</t>
  </si>
  <si>
    <t>Levererad energi för tappvarmvatten per energibärare exkl. VVC om VVC är inkluderad i energi för tappvarmvatten</t>
  </si>
  <si>
    <t>(om förluster ingår i VV mätning, annars blir tabellen samma som till vänster)</t>
  </si>
  <si>
    <t>Producerad energi för tappvarmvatten per energibärare exkl. VVC</t>
  </si>
  <si>
    <t>Andel bostäder av Atemp (%)</t>
  </si>
  <si>
    <t>Andel lokaler av Atemp %</t>
  </si>
  <si>
    <t>Norm värde lokaler (kWh/m2 Atemp)</t>
  </si>
  <si>
    <t>Norm värde för totalt (kWh/m2 Atemp)</t>
  </si>
  <si>
    <t>Efter justering för TVV armaturer (kWh/m2 Atemp)</t>
  </si>
  <si>
    <t>Efter justering för solvärme och återvinning avlopp (kWh/m2 Atemp)</t>
  </si>
  <si>
    <t>Producerad energi efter påslag av VVC förluster (MWh/år)</t>
  </si>
  <si>
    <t>Levererad efter avdrag återvunnen/ solvärme</t>
  </si>
  <si>
    <t>Levererad El efter avdrag solceller</t>
  </si>
  <si>
    <t>Ingen avdrag solvärme (MWh/år)</t>
  </si>
  <si>
    <t>Ingen avdrag solceller (MWh/år)</t>
  </si>
  <si>
    <t>Leverad energi för uppvärmning per energibärare inkl. VVC förluster exkl elgolvvärme</t>
  </si>
  <si>
    <t>Producerad energi för uppvärmning per energibärare inkl. VVC förluster, exkl. Elgolvvärme</t>
  </si>
  <si>
    <t>Levererad El till uppvärmning  efter avdrag solceller</t>
  </si>
  <si>
    <t>Gas (Naturgas)</t>
  </si>
  <si>
    <t>Källa för specifk data</t>
  </si>
  <si>
    <t>Dold kolumn</t>
  </si>
  <si>
    <r>
      <t>Verksamhetsrelaterad energianvändning i drift (redovisas per andel av A</t>
    </r>
    <r>
      <rPr>
        <b/>
        <vertAlign val="subscript"/>
        <sz val="12"/>
        <color theme="0"/>
        <rFont val="Calibri"/>
        <family val="2"/>
        <scheme val="minor"/>
      </rPr>
      <t>temp</t>
    </r>
    <r>
      <rPr>
        <b/>
        <sz val="12"/>
        <color theme="0"/>
        <rFont val="Calibri"/>
        <family val="2"/>
        <scheme val="minor"/>
      </rPr>
      <t>)</t>
    </r>
  </si>
  <si>
    <t>Klimatpåverkan i kgCO2 e/m2 Atemp</t>
  </si>
  <si>
    <t>Klimatpåverkan i kgCO2 e/m2 BTA,år</t>
  </si>
  <si>
    <r>
      <t>Klimatpåverkan av levererad (köpt) energianvändning, kgCO</t>
    </r>
    <r>
      <rPr>
        <b/>
        <vertAlign val="subscript"/>
        <sz val="12"/>
        <color theme="0"/>
        <rFont val="Calibri"/>
        <family val="2"/>
        <scheme val="minor"/>
      </rPr>
      <t>2</t>
    </r>
    <r>
      <rPr>
        <b/>
        <sz val="12"/>
        <color theme="0"/>
        <rFont val="Calibri"/>
        <family val="2"/>
        <scheme val="minor"/>
      </rPr>
      <t>e/m</t>
    </r>
    <r>
      <rPr>
        <b/>
        <vertAlign val="superscript"/>
        <sz val="12"/>
        <color theme="0"/>
        <rFont val="Calibri"/>
        <family val="2"/>
        <scheme val="minor"/>
      </rPr>
      <t>2</t>
    </r>
    <r>
      <rPr>
        <b/>
        <sz val="12"/>
        <color theme="0"/>
        <rFont val="Calibri"/>
        <family val="2"/>
        <scheme val="minor"/>
      </rPr>
      <t xml:space="preserve"> BTA och år</t>
    </r>
  </si>
  <si>
    <t>kgCO2 e/m2 BTA</t>
  </si>
  <si>
    <t>kgCO2 e/m2 Atemp</t>
  </si>
  <si>
    <t>kgCO2 e/m2 BTA,år</t>
  </si>
  <si>
    <t>kgCO2 e/m2 BTA och år</t>
  </si>
  <si>
    <r>
      <t xml:space="preserve">Byggnadens energianvändning (BBR energi) under </t>
    </r>
    <r>
      <rPr>
        <b/>
        <i/>
        <sz val="12"/>
        <color theme="0"/>
        <rFont val="Calibri"/>
        <family val="2"/>
        <scheme val="minor"/>
      </rPr>
      <t>referensåret</t>
    </r>
  </si>
  <si>
    <r>
      <t xml:space="preserve">Verksamhetsrelaterad energianvändning under </t>
    </r>
    <r>
      <rPr>
        <b/>
        <i/>
        <sz val="12"/>
        <color theme="0"/>
        <rFont val="Calibri"/>
        <family val="2"/>
        <scheme val="minor"/>
      </rPr>
      <t xml:space="preserve">referensår </t>
    </r>
    <r>
      <rPr>
        <b/>
        <sz val="12"/>
        <color theme="0"/>
        <rFont val="Calibri"/>
        <family val="2"/>
        <scheme val="minor"/>
      </rPr>
      <t>(redovisas per andel av A</t>
    </r>
    <r>
      <rPr>
        <b/>
        <vertAlign val="subscript"/>
        <sz val="12"/>
        <color theme="0"/>
        <rFont val="Calibri"/>
        <family val="2"/>
        <scheme val="minor"/>
      </rPr>
      <t>temp</t>
    </r>
    <r>
      <rPr>
        <b/>
        <sz val="12"/>
        <color theme="0"/>
        <rFont val="Calibri"/>
        <family val="2"/>
        <scheme val="minor"/>
      </rPr>
      <t>)</t>
    </r>
  </si>
  <si>
    <r>
      <t xml:space="preserve">Korrigeringar för normalisering av byggnadens energianvändning under </t>
    </r>
    <r>
      <rPr>
        <b/>
        <i/>
        <sz val="12"/>
        <color theme="0"/>
        <rFont val="Calibri"/>
        <family val="2"/>
        <scheme val="minor"/>
      </rPr>
      <t>referensåret</t>
    </r>
  </si>
  <si>
    <r>
      <t xml:space="preserve">Byggnadens uppmätt energianvändning (BBR energi) under </t>
    </r>
    <r>
      <rPr>
        <b/>
        <i/>
        <sz val="12"/>
        <color theme="0"/>
        <rFont val="Calibri"/>
        <family val="2"/>
        <scheme val="minor"/>
      </rPr>
      <t>referensåret</t>
    </r>
  </si>
  <si>
    <t>När kan verktyget användas?</t>
  </si>
  <si>
    <t>Dals-Eds</t>
  </si>
  <si>
    <t>SGBCs Redovisningsverktyg för normalisering av mätvärden, normalårskorrigering och beräkning av primärenergital enligt BBR25 alternativt BBR29</t>
  </si>
  <si>
    <t>Verisonshistorik</t>
  </si>
  <si>
    <t xml:space="preserve">1.0 </t>
  </si>
  <si>
    <t>Gäller för GreenBuilding certifiering av en befintlig byggnad enligt Kriterium 6 - Energirenovering</t>
  </si>
  <si>
    <t>Följande orter kan väljas för normalårskorrigeringen</t>
  </si>
  <si>
    <t>Ort</t>
  </si>
  <si>
    <t>Län</t>
  </si>
  <si>
    <t>För Ny byggnad och befintlig byggnad Alternativ 2 (Kriterium 7- Energiklass)</t>
  </si>
  <si>
    <t>För befintlig byggnad Alternativ 1 (Kriterium 6- Energirenovering)</t>
  </si>
  <si>
    <t>För befintlig byggnad Alternativ 1- Kriterium 6- Energirenovering</t>
  </si>
  <si>
    <t>OBS! Normalårskorrigering tillgänglig t.o.m dec 2021</t>
  </si>
  <si>
    <t>GreenBuilding Kriterium 6 uppfylls (JA/NEJ)</t>
  </si>
  <si>
    <t>GreenBuilding Kriterium 7 uppfylls (JA/NEJ)</t>
  </si>
  <si>
    <t>För referensår befintlig byggnad Alternativ 1 (exkl. solenergi)</t>
  </si>
  <si>
    <t>För referensår befintlig byggnad Alternativ 1 (exkl solenergi)</t>
  </si>
  <si>
    <t>Referensår (inga korrigeringar för solenergi)</t>
  </si>
  <si>
    <r>
      <t xml:space="preserve">REFERENSÅR </t>
    </r>
    <r>
      <rPr>
        <b/>
        <i/>
        <sz val="12"/>
        <color theme="1"/>
        <rFont val="Calibri"/>
        <family val="2"/>
        <scheme val="minor"/>
      </rPr>
      <t>(Gäller för befintlig byggnad Alternativ 1, dvs  Kriterium 6 - Energirenovering)</t>
    </r>
  </si>
  <si>
    <r>
      <t>Byggnadens energianvändning, kWh/m</t>
    </r>
    <r>
      <rPr>
        <b/>
        <vertAlign val="superscript"/>
        <sz val="12"/>
        <color theme="0"/>
        <rFont val="Calibri"/>
        <family val="2"/>
        <scheme val="minor"/>
      </rPr>
      <t>2</t>
    </r>
    <r>
      <rPr>
        <b/>
        <sz val="12"/>
        <color theme="0"/>
        <rFont val="Calibri"/>
        <family val="2"/>
        <scheme val="minor"/>
      </rPr>
      <t xml:space="preserve"> A</t>
    </r>
    <r>
      <rPr>
        <b/>
        <vertAlign val="subscript"/>
        <sz val="12"/>
        <color theme="0"/>
        <rFont val="Calibri"/>
        <family val="2"/>
        <scheme val="minor"/>
      </rPr>
      <t xml:space="preserve">temp </t>
    </r>
    <r>
      <rPr>
        <b/>
        <sz val="12"/>
        <color theme="0"/>
        <rFont val="Calibri"/>
        <family val="2"/>
        <scheme val="minor"/>
      </rPr>
      <t>och år</t>
    </r>
  </si>
  <si>
    <t>GreenBuilding kriteriet 6 alt 7 uppfylls</t>
  </si>
  <si>
    <t>Karin Glader</t>
  </si>
  <si>
    <t>För referensår befintlig byggnad Alternativ 1 (inkl. solenergi)</t>
  </si>
  <si>
    <t>För referensår befintlig byggnad Alternativ 1 (inkl solenergi)</t>
  </si>
  <si>
    <t xml:space="preserve">Primärenergital I drift </t>
  </si>
  <si>
    <t>Primärenergital referensår</t>
  </si>
  <si>
    <t>Referensår (med korrigeringar för solenergi)</t>
  </si>
  <si>
    <t>Befintlig byggnad Alternativ 1 (inga korrigeringar för solenergi)</t>
  </si>
  <si>
    <t>med solenergi</t>
  </si>
  <si>
    <t>utan solenergi</t>
  </si>
  <si>
    <t>Befintlig byggnad Alternativ 1 (med korrigeringar för solenergi)</t>
  </si>
  <si>
    <t>I denna version av verktyget används gulmarkerade celler i resutatredovisning i  resultattabeller</t>
  </si>
  <si>
    <t>I denna version av verktyget används gulmarkerade celler i resultatredovisning i resultattabellen</t>
  </si>
  <si>
    <t>Enligt taxonomin ska förbättringen på 30% vara resultatet av en faktisk minskning av behovet av primärenergi och inte minskning av nettobehovet av primärenergi genom förnybara energikällor. Dock är det oklart hur referensåret ska beräknas (inkl. eller exkl. solenergi som exempelvis kan finns redan innan renovering). Därför har både beräkningar (inkl. och exkl. solenergi) tagits fram.</t>
  </si>
  <si>
    <t>För Ny byggnad och befintlig byggnad Alternativ 2 (Kriterium 7) samt Alternativ 1 (inkl. solenergi som finns innan renoveringen)</t>
  </si>
  <si>
    <t>För befintlig byggnad Alternativ 1 (Kriterium 6) (exkl. solenergi)</t>
  </si>
  <si>
    <t>Enligt taxonomin ska förbättringen på 30% vara resultatet av en faktisk minskning av behovet av primärenergi och inte minskning av nettobehovet av primärenergi genom förnybara energikällor. Dock är det oklart hur solenergi som exempelvis kan finns redan innan renovering ska beräknas med. Därför har två resultat tagits fram (inkl. och exkl. solenergi). Vilken av dem två används i resultatredovisning har markerats med gul färg på resultatsida.</t>
  </si>
  <si>
    <t>Alingszas</t>
  </si>
  <si>
    <t>zamzal</t>
  </si>
  <si>
    <t>zange</t>
  </si>
  <si>
    <t>zare</t>
  </si>
  <si>
    <t>zaseda</t>
  </si>
  <si>
    <t>zatvidaberg</t>
  </si>
  <si>
    <t>Bzastad</t>
  </si>
  <si>
    <t>Borzas</t>
  </si>
  <si>
    <t>Finspzang</t>
  </si>
  <si>
    <t>Laxza</t>
  </si>
  <si>
    <t>Luleza</t>
  </si>
  <si>
    <t>Malza</t>
  </si>
  <si>
    <t>Piteza</t>
  </si>
  <si>
    <t>Skellefteza</t>
  </si>
  <si>
    <t>Sollefteza</t>
  </si>
  <si>
    <t>Timrza</t>
  </si>
  <si>
    <t>Torszas</t>
  </si>
  <si>
    <t>Tranzas</t>
  </si>
  <si>
    <t>Umeza</t>
  </si>
  <si>
    <t>Vzargzarda</t>
  </si>
  <si>
    <t>Vingzaker</t>
  </si>
  <si>
    <t>zas</t>
  </si>
  <si>
    <t>zastorp</t>
  </si>
  <si>
    <t>zelmhult</t>
  </si>
  <si>
    <t>zelvdalen</t>
  </si>
  <si>
    <t>zelvsbyn</t>
  </si>
  <si>
    <t>zengelholm</t>
  </si>
  <si>
    <t>zarjzeng</t>
  </si>
  <si>
    <t>Bollnzes</t>
  </si>
  <si>
    <t>Borlzenge</t>
  </si>
  <si>
    <t>Brzecke</t>
  </si>
  <si>
    <t>Fzergelanda</t>
  </si>
  <si>
    <t>Gzeddede</t>
  </si>
  <si>
    <t>Gzellivare</t>
  </si>
  <si>
    <t>Gzevle</t>
  </si>
  <si>
    <t>Grzestorp</t>
  </si>
  <si>
    <t>Hzellefors</t>
  </si>
  <si>
    <t>Hzerryda</t>
  </si>
  <si>
    <t>Hzessleholm</t>
  </si>
  <si>
    <t>Jzerfzella</t>
  </si>
  <si>
    <t>Kzevlinge</t>
  </si>
  <si>
    <t>Kungzelv</t>
  </si>
  <si>
    <t>Mzersta</t>
  </si>
  <si>
    <t>Norrtzelje</t>
  </si>
  <si>
    <t>Nynzeshamn</t>
  </si>
  <si>
    <t>Rzettvik</t>
  </si>
  <si>
    <t>Szeffle</t>
  </si>
  <si>
    <t>Szelen</t>
  </si>
  <si>
    <t>Szerna</t>
  </si>
  <si>
    <t>Szatenzes</t>
  </si>
  <si>
    <t>Szeter</t>
  </si>
  <si>
    <t>Skutskzer</t>
  </si>
  <si>
    <t>Sotenzes</t>
  </si>
  <si>
    <t>Strzengnzes</t>
  </si>
  <si>
    <t>Tzeby</t>
  </si>
  <si>
    <t>Tzennzes</t>
  </si>
  <si>
    <t>Trollhzettan</t>
  </si>
  <si>
    <t>Upplands-Vzesby</t>
  </si>
  <si>
    <t>Vzenersborg</t>
  </si>
  <si>
    <t>Vzennzes</t>
  </si>
  <si>
    <t>Vzernamo</t>
  </si>
  <si>
    <t>Vzesterzas</t>
  </si>
  <si>
    <t>Vzestervik</t>
  </si>
  <si>
    <t>Malmslzett</t>
  </si>
  <si>
    <t>Torshzella</t>
  </si>
  <si>
    <t>Adelszo</t>
  </si>
  <si>
    <t>Bromzolla</t>
  </si>
  <si>
    <t>Burlzov</t>
  </si>
  <si>
    <t>Eksjzo</t>
  </si>
  <si>
    <t>Enkzoping</t>
  </si>
  <si>
    <t>Eslzov</t>
  </si>
  <si>
    <t>Falkzoping</t>
  </si>
  <si>
    <t>Fzollinge</t>
  </si>
  <si>
    <t>Gzoteborg</t>
  </si>
  <si>
    <t>Gzotene</t>
  </si>
  <si>
    <t>Hammarzo</t>
  </si>
  <si>
    <t>Hzernzosand</t>
  </si>
  <si>
    <t>Hzoganzes</t>
  </si>
  <si>
    <t>Hzogsby</t>
  </si>
  <si>
    <t>Hzozor</t>
  </si>
  <si>
    <t>Hzorby</t>
  </si>
  <si>
    <t>Jzonkzoping</t>
  </si>
  <si>
    <t>Kzoping</t>
  </si>
  <si>
    <t>Kungszor</t>
  </si>
  <si>
    <t>Lidingzo</t>
  </si>
  <si>
    <t>Lidkzoping</t>
  </si>
  <si>
    <t>Linkzoping</t>
  </si>
  <si>
    <t>Malmzo</t>
  </si>
  <si>
    <t>Mjzolby</t>
  </si>
  <si>
    <t>Mzolndal</t>
  </si>
  <si>
    <t>Mzonsterzas</t>
  </si>
  <si>
    <t>Mzorbylzanga</t>
  </si>
  <si>
    <t>Nzessjzo</t>
  </si>
  <si>
    <t>Norrkzoping</t>
  </si>
  <si>
    <t>Norsjzo</t>
  </si>
  <si>
    <t>Nykzoping</t>
  </si>
  <si>
    <t>zockerzo</t>
  </si>
  <si>
    <t>zodeshzog</t>
  </si>
  <si>
    <t>Olofstrzom</t>
  </si>
  <si>
    <t>zorebro</t>
  </si>
  <si>
    <t>zorkelljunga</t>
  </si>
  <si>
    <t>zornskzoldsvik</t>
  </si>
  <si>
    <t>zosterzaker</t>
  </si>
  <si>
    <t>zostersund</t>
  </si>
  <si>
    <t>zosthammar</t>
  </si>
  <si>
    <t>zoverkalix</t>
  </si>
  <si>
    <t>zovertorneza</t>
  </si>
  <si>
    <t>Oxelzosund</t>
  </si>
  <si>
    <t>zostmark</t>
  </si>
  <si>
    <t>Szevsjzo</t>
  </si>
  <si>
    <t>Sjzobo</t>
  </si>
  <si>
    <t>Skzovde</t>
  </si>
  <si>
    <t>Szoderhamn</t>
  </si>
  <si>
    <t>Szoderkzoping</t>
  </si>
  <si>
    <t>Szodertzelje</t>
  </si>
  <si>
    <t>Szolvesborg</t>
  </si>
  <si>
    <t>Strzomstad</t>
  </si>
  <si>
    <t>Strzomsund</t>
  </si>
  <si>
    <t>Svalzov</t>
  </si>
  <si>
    <t>Tzernsjzo</t>
  </si>
  <si>
    <t>Tjzorn</t>
  </si>
  <si>
    <t>Tzoreboda</t>
  </si>
  <si>
    <t>Tyreszo</t>
  </si>
  <si>
    <t>Vzermdzo</t>
  </si>
  <si>
    <t>Vzexjzo</t>
  </si>
  <si>
    <t>Gnosjzo</t>
  </si>
  <si>
    <t>Mzorrum</t>
  </si>
  <si>
    <t>Mullsjzo</t>
  </si>
  <si>
    <t>Rzodeby</t>
  </si>
  <si>
    <t>DalsEds</t>
  </si>
  <si>
    <t>Visa kontrolltext</t>
  </si>
  <si>
    <t xml:space="preserve">Verision 1.0 innehåller klimatdata till och med 2021 och normalåret som används är 1981-2010.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</si>
</sst>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
    <numFmt numFmtId="166" formatCode="0.000"/>
    <numFmt numFmtId="167" formatCode="[$]yyyy/mm/dd;@" x16r2:formatCode16="[$-en-SE,1]yyyy/mm/dd;@"/>
  </numFmts>
  <fonts count="56" x14ac:knownFonts="1">
    <font>
      <sz val="11"/>
      <color theme="1"/>
      <name val="Calibri"/>
      <family val="2"/>
      <scheme val="minor"/>
    </font>
    <font>
      <sz val="11"/>
      <color rgb="FFFF0000"/>
      <name val="Calibri"/>
      <family val="2"/>
      <scheme val="minor"/>
    </font>
    <font>
      <b/>
      <sz val="11"/>
      <color theme="1"/>
      <name val="Calibri"/>
      <family val="2"/>
      <scheme val="minor"/>
    </font>
    <font>
      <sz val="24"/>
      <color rgb="FF484848"/>
      <name val="Franklin Gothic Demi Cond"/>
      <family val="2"/>
    </font>
    <font>
      <sz val="12"/>
      <color theme="1"/>
      <name val="Calibri"/>
      <family val="2"/>
      <scheme val="minor"/>
    </font>
    <font>
      <sz val="14"/>
      <color theme="1"/>
      <name val="Calibri"/>
      <family val="2"/>
      <scheme val="minor"/>
    </font>
    <font>
      <b/>
      <sz val="12"/>
      <color theme="1"/>
      <name val="Calibri"/>
      <family val="2"/>
      <scheme val="minor"/>
    </font>
    <font>
      <b/>
      <sz val="14"/>
      <color theme="1"/>
      <name val="Calibri"/>
      <family val="2"/>
      <scheme val="minor"/>
    </font>
    <font>
      <vertAlign val="superscript"/>
      <sz val="11"/>
      <color theme="1"/>
      <name val="Calibri"/>
      <family val="2"/>
      <scheme val="minor"/>
    </font>
    <font>
      <vertAlign val="subscript"/>
      <sz val="11"/>
      <color theme="1"/>
      <name val="Calibri"/>
      <family val="2"/>
      <scheme val="minor"/>
    </font>
    <font>
      <sz val="11"/>
      <name val="Calibri"/>
      <family val="2"/>
      <scheme val="minor"/>
    </font>
    <font>
      <sz val="9"/>
      <color indexed="81"/>
      <name val="Tahoma"/>
      <family val="2"/>
    </font>
    <font>
      <b/>
      <sz val="12"/>
      <name val="Calibri"/>
      <family val="2"/>
      <scheme val="minor"/>
    </font>
    <font>
      <b/>
      <vertAlign val="superscript"/>
      <sz val="11"/>
      <color theme="1"/>
      <name val="Calibri"/>
      <family val="2"/>
      <scheme val="minor"/>
    </font>
    <font>
      <b/>
      <vertAlign val="subscript"/>
      <sz val="11"/>
      <color theme="1"/>
      <name val="Calibri"/>
      <family val="2"/>
      <scheme val="minor"/>
    </font>
    <font>
      <i/>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b/>
      <sz val="11"/>
      <name val="Calibri"/>
      <family val="2"/>
      <scheme val="minor"/>
    </font>
    <font>
      <b/>
      <sz val="11"/>
      <color rgb="FFFF0000"/>
      <name val="Calibri"/>
      <family val="2"/>
      <scheme val="minor"/>
    </font>
    <font>
      <b/>
      <vertAlign val="subscript"/>
      <sz val="12"/>
      <color theme="1"/>
      <name val="Calibri"/>
      <family val="2"/>
      <scheme val="minor"/>
    </font>
    <font>
      <sz val="11"/>
      <color rgb="FF000000"/>
      <name val="Calibri"/>
      <family val="2"/>
      <scheme val="minor"/>
    </font>
    <font>
      <b/>
      <i/>
      <sz val="11"/>
      <color theme="1"/>
      <name val="Calibri"/>
      <family val="2"/>
      <scheme val="minor"/>
    </font>
    <font>
      <b/>
      <vertAlign val="subscript"/>
      <sz val="11"/>
      <name val="Calibri"/>
      <family val="2"/>
      <scheme val="minor"/>
    </font>
    <font>
      <b/>
      <vertAlign val="superscript"/>
      <sz val="11"/>
      <name val="Calibri"/>
      <family val="2"/>
      <scheme val="minor"/>
    </font>
    <font>
      <b/>
      <sz val="9"/>
      <color indexed="81"/>
      <name val="Tahoma"/>
      <family val="2"/>
    </font>
    <font>
      <b/>
      <i/>
      <sz val="12"/>
      <color theme="1"/>
      <name val="Calibri"/>
      <family val="2"/>
      <scheme val="minor"/>
    </font>
    <font>
      <sz val="8"/>
      <name val="Calibri"/>
      <family val="2"/>
      <scheme val="minor"/>
    </font>
    <font>
      <i/>
      <vertAlign val="subscript"/>
      <sz val="11"/>
      <color theme="1"/>
      <name val="Calibri"/>
      <family val="2"/>
      <scheme val="minor"/>
    </font>
    <font>
      <b/>
      <i/>
      <sz val="11"/>
      <name val="Calibri"/>
      <family val="2"/>
      <scheme val="minor"/>
    </font>
    <font>
      <i/>
      <sz val="11"/>
      <color rgb="FFFF0000"/>
      <name val="Calibri"/>
      <family val="2"/>
      <scheme val="minor"/>
    </font>
    <font>
      <i/>
      <sz val="11"/>
      <name val="Calibri"/>
      <family val="2"/>
      <scheme val="minor"/>
    </font>
    <font>
      <b/>
      <sz val="12"/>
      <color theme="0"/>
      <name val="Calibri"/>
      <family val="2"/>
      <scheme val="minor"/>
    </font>
    <font>
      <b/>
      <vertAlign val="subscript"/>
      <sz val="12"/>
      <color theme="0"/>
      <name val="Calibri"/>
      <family val="2"/>
      <scheme val="minor"/>
    </font>
    <font>
      <b/>
      <vertAlign val="superscript"/>
      <sz val="12"/>
      <color theme="0"/>
      <name val="Calibri"/>
      <family val="2"/>
      <scheme val="minor"/>
    </font>
    <font>
      <b/>
      <i/>
      <sz val="12"/>
      <color theme="0"/>
      <name val="Calibri"/>
      <family val="2"/>
      <scheme val="minor"/>
    </font>
    <font>
      <sz val="11"/>
      <color rgb="FF0070C0"/>
      <name val="Calibri"/>
      <family val="2"/>
      <scheme val="minor"/>
    </font>
    <font>
      <b/>
      <sz val="10"/>
      <color theme="8"/>
      <name val="Calibri"/>
      <family val="2"/>
      <scheme val="minor"/>
    </font>
    <font>
      <b/>
      <sz val="11"/>
      <color theme="8"/>
      <name val="Calibri"/>
      <family val="2"/>
      <scheme val="minor"/>
    </font>
    <font>
      <b/>
      <i/>
      <sz val="11"/>
      <color rgb="FFFF0000"/>
      <name val="Calibri"/>
      <family val="2"/>
      <scheme val="minor"/>
    </font>
    <font>
      <sz val="11"/>
      <color theme="0" tint="-0.34998626667073579"/>
      <name val="Calibri"/>
      <family val="2"/>
      <scheme val="minor"/>
    </font>
    <font>
      <sz val="11"/>
      <color theme="0" tint="-0.499984740745262"/>
      <name val="Calibri"/>
      <family val="2"/>
      <scheme val="minor"/>
    </font>
  </fonts>
  <fills count="50">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C00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3"/>
        <bgColor indexed="64"/>
      </patternFill>
    </fill>
    <fill>
      <patternFill patternType="solid">
        <fgColor theme="6"/>
        <bgColor indexed="64"/>
      </patternFill>
    </fill>
    <fill>
      <patternFill patternType="solid">
        <fgColor theme="0" tint="-0.249977111117893"/>
        <bgColor indexed="64"/>
      </patternFill>
    </fill>
    <fill>
      <patternFill patternType="solid">
        <fgColor theme="9"/>
        <bgColor indexed="64"/>
      </patternFill>
    </fill>
    <fill>
      <patternFill patternType="solid">
        <fgColor theme="2"/>
        <bgColor indexed="64"/>
      </patternFill>
    </fill>
    <fill>
      <patternFill patternType="solid">
        <fgColor theme="8" tint="0.79998168889431442"/>
        <bgColor indexed="64"/>
      </patternFill>
    </fill>
  </fills>
  <borders count="4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double">
        <color indexed="64"/>
      </bottom>
      <diagonal/>
    </border>
    <border>
      <left/>
      <right/>
      <top/>
      <bottom style="thin">
        <color indexed="64"/>
      </bottom>
      <diagonal/>
    </border>
    <border>
      <left style="thin">
        <color indexed="64"/>
      </left>
      <right style="thin">
        <color indexed="64"/>
      </right>
      <top/>
      <bottom style="double">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style="thin">
        <color indexed="64"/>
      </bottom>
      <diagonal/>
    </border>
    <border>
      <left/>
      <right style="medium">
        <color indexed="64"/>
      </right>
      <top/>
      <bottom style="thin">
        <color indexed="64"/>
      </bottom>
      <diagonal/>
    </border>
  </borders>
  <cellStyleXfs count="44">
    <xf numFmtId="0" fontId="0" fillId="0" borderId="0"/>
    <xf numFmtId="0" fontId="17" fillId="0" borderId="0" applyNumberFormat="0" applyFill="0" applyBorder="0" applyAlignment="0" applyProtection="0"/>
    <xf numFmtId="0" fontId="18" fillId="0" borderId="13" applyNumberFormat="0" applyFill="0" applyAlignment="0" applyProtection="0"/>
    <xf numFmtId="0" fontId="19" fillId="0" borderId="14" applyNumberFormat="0" applyFill="0" applyAlignment="0" applyProtection="0"/>
    <xf numFmtId="0" fontId="20" fillId="0" borderId="15" applyNumberFormat="0" applyFill="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6" borderId="0" applyNumberFormat="0" applyBorder="0" applyAlignment="0" applyProtection="0"/>
    <xf numFmtId="0" fontId="23" fillId="7" borderId="0" applyNumberFormat="0" applyBorder="0" applyAlignment="0" applyProtection="0"/>
    <xf numFmtId="0" fontId="24" fillId="8" borderId="16" applyNumberFormat="0" applyAlignment="0" applyProtection="0"/>
    <xf numFmtId="0" fontId="25" fillId="9" borderId="17" applyNumberFormat="0" applyAlignment="0" applyProtection="0"/>
    <xf numFmtId="0" fontId="26" fillId="9" borderId="16" applyNumberFormat="0" applyAlignment="0" applyProtection="0"/>
    <xf numFmtId="0" fontId="27" fillId="0" borderId="18" applyNumberFormat="0" applyFill="0" applyAlignment="0" applyProtection="0"/>
    <xf numFmtId="0" fontId="28" fillId="10" borderId="19" applyNumberFormat="0" applyAlignment="0" applyProtection="0"/>
    <xf numFmtId="0" fontId="1" fillId="0" borderId="0" applyNumberFormat="0" applyFill="0" applyBorder="0" applyAlignment="0" applyProtection="0"/>
    <xf numFmtId="0" fontId="16" fillId="11" borderId="20" applyNumberFormat="0" applyFont="0" applyAlignment="0" applyProtection="0"/>
    <xf numFmtId="0" fontId="29" fillId="0" borderId="0" applyNumberFormat="0" applyFill="0" applyBorder="0" applyAlignment="0" applyProtection="0"/>
    <xf numFmtId="0" fontId="2" fillId="0" borderId="21" applyNumberFormat="0" applyFill="0" applyAlignment="0" applyProtection="0"/>
    <xf numFmtId="0" fontId="30"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30"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30"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30"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30"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30"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31" fillId="0" borderId="0" applyNumberFormat="0" applyFill="0" applyBorder="0" applyAlignment="0" applyProtection="0"/>
    <xf numFmtId="9" fontId="16" fillId="0" borderId="0" applyFont="0" applyFill="0" applyBorder="0" applyAlignment="0" applyProtection="0"/>
  </cellStyleXfs>
  <cellXfs count="414">
    <xf numFmtId="0" fontId="0" fillId="0" borderId="0" xfId="0"/>
    <xf numFmtId="2" fontId="0" fillId="0" borderId="0" xfId="0" applyNumberFormat="1"/>
    <xf numFmtId="0" fontId="0" fillId="0" borderId="0" xfId="0" applyAlignment="1">
      <alignment horizontal="center" vertical="center"/>
    </xf>
    <xf numFmtId="0" fontId="0" fillId="0" borderId="0" xfId="0" applyAlignment="1">
      <alignment horizontal="center"/>
    </xf>
    <xf numFmtId="2" fontId="0" fillId="3" borderId="9" xfId="0" applyNumberFormat="1" applyFill="1" applyBorder="1" applyAlignment="1">
      <alignment horizontal="center"/>
    </xf>
    <xf numFmtId="0" fontId="30" fillId="36" borderId="0" xfId="0" applyFont="1" applyFill="1"/>
    <xf numFmtId="164" fontId="0" fillId="0" borderId="0" xfId="0" applyNumberFormat="1"/>
    <xf numFmtId="0" fontId="31" fillId="0" borderId="0" xfId="42" applyAlignment="1">
      <alignment horizontal="center" vertical="center" wrapText="1"/>
    </xf>
    <xf numFmtId="1" fontId="0" fillId="0" borderId="0" xfId="0" applyNumberFormat="1"/>
    <xf numFmtId="0" fontId="0" fillId="0" borderId="0" xfId="0" applyAlignment="1">
      <alignment horizontal="center" vertical="center" wrapText="1"/>
    </xf>
    <xf numFmtId="1" fontId="0" fillId="4" borderId="0" xfId="0" applyNumberFormat="1" applyFill="1"/>
    <xf numFmtId="0" fontId="0" fillId="0" borderId="0" xfId="0" applyAlignment="1">
      <alignment horizontal="right"/>
    </xf>
    <xf numFmtId="0" fontId="0" fillId="4" borderId="0" xfId="0" applyFill="1"/>
    <xf numFmtId="0" fontId="0" fillId="0" borderId="0" xfId="0" applyAlignment="1">
      <alignment horizontal="left" vertical="center"/>
    </xf>
    <xf numFmtId="0" fontId="0" fillId="4" borderId="0" xfId="0" applyFill="1" applyAlignment="1">
      <alignment horizontal="left" vertical="center"/>
    </xf>
    <xf numFmtId="0" fontId="7" fillId="0" borderId="0" xfId="0" applyFont="1"/>
    <xf numFmtId="0" fontId="0" fillId="37" borderId="0" xfId="0" applyFill="1"/>
    <xf numFmtId="0" fontId="1" fillId="0" borderId="0" xfId="0" applyFont="1"/>
    <xf numFmtId="0" fontId="5" fillId="38" borderId="0" xfId="0" applyFont="1" applyFill="1"/>
    <xf numFmtId="0" fontId="5" fillId="37" borderId="0" xfId="0" applyFont="1" applyFill="1"/>
    <xf numFmtId="0" fontId="0" fillId="0" borderId="0" xfId="0" applyAlignment="1">
      <alignment horizontal="left"/>
    </xf>
    <xf numFmtId="0" fontId="2" fillId="37" borderId="0" xfId="0" applyFont="1" applyFill="1"/>
    <xf numFmtId="0" fontId="0" fillId="37" borderId="0" xfId="0" applyFill="1" applyAlignment="1">
      <alignment horizontal="center"/>
    </xf>
    <xf numFmtId="0" fontId="1" fillId="0" borderId="0" xfId="0" applyFont="1" applyAlignment="1">
      <alignment horizontal="center"/>
    </xf>
    <xf numFmtId="0" fontId="0" fillId="37" borderId="0" xfId="0" applyFill="1" applyAlignment="1">
      <alignment horizontal="right"/>
    </xf>
    <xf numFmtId="0" fontId="0" fillId="37" borderId="0" xfId="0" applyFill="1" applyAlignment="1">
      <alignment horizontal="left"/>
    </xf>
    <xf numFmtId="0" fontId="15" fillId="37" borderId="0" xfId="0" applyFont="1" applyFill="1"/>
    <xf numFmtId="164" fontId="0" fillId="37" borderId="0" xfId="0" applyNumberFormat="1" applyFill="1" applyAlignment="1">
      <alignment horizontal="center"/>
    </xf>
    <xf numFmtId="2" fontId="0" fillId="37" borderId="0" xfId="0" applyNumberFormat="1" applyFill="1" applyAlignment="1">
      <alignment horizontal="left"/>
    </xf>
    <xf numFmtId="1" fontId="0" fillId="37" borderId="9" xfId="0" applyNumberFormat="1" applyFill="1" applyBorder="1" applyAlignment="1">
      <alignment horizontal="center"/>
    </xf>
    <xf numFmtId="164" fontId="0" fillId="37" borderId="9" xfId="0" applyNumberFormat="1" applyFill="1" applyBorder="1" applyAlignment="1">
      <alignment horizontal="center"/>
    </xf>
    <xf numFmtId="0" fontId="12" fillId="0" borderId="0" xfId="0" applyFont="1" applyAlignment="1">
      <alignment vertical="center"/>
    </xf>
    <xf numFmtId="0" fontId="0" fillId="37" borderId="9" xfId="0" applyFill="1" applyBorder="1" applyAlignment="1">
      <alignment horizontal="center"/>
    </xf>
    <xf numFmtId="0" fontId="2" fillId="0" borderId="9" xfId="0" applyFont="1" applyBorder="1" applyAlignment="1">
      <alignment horizontal="left"/>
    </xf>
    <xf numFmtId="0" fontId="2" fillId="0" borderId="9" xfId="0" applyFont="1" applyBorder="1"/>
    <xf numFmtId="0" fontId="0" fillId="38" borderId="9" xfId="0" applyFill="1" applyBorder="1" applyAlignment="1">
      <alignment horizontal="center"/>
    </xf>
    <xf numFmtId="0" fontId="0" fillId="2" borderId="0" xfId="0" applyFill="1"/>
    <xf numFmtId="0" fontId="0" fillId="2" borderId="0" xfId="0" applyFill="1" applyAlignment="1">
      <alignment horizontal="center"/>
    </xf>
    <xf numFmtId="0" fontId="28" fillId="2" borderId="0" xfId="0" applyFont="1" applyFill="1" applyAlignment="1">
      <alignment horizontal="center" vertical="center"/>
    </xf>
    <xf numFmtId="0" fontId="2" fillId="2" borderId="0" xfId="0" applyFont="1" applyFill="1" applyAlignment="1">
      <alignment horizontal="center" vertical="center"/>
    </xf>
    <xf numFmtId="0" fontId="2" fillId="0" borderId="0" xfId="0" applyFont="1" applyAlignment="1">
      <alignment horizontal="center" vertical="center"/>
    </xf>
    <xf numFmtId="164" fontId="1" fillId="0" borderId="0" xfId="0" applyNumberFormat="1" applyFont="1" applyAlignment="1">
      <alignment horizontal="center" vertical="center"/>
    </xf>
    <xf numFmtId="164" fontId="0" fillId="0" borderId="0" xfId="0" applyNumberFormat="1" applyAlignment="1">
      <alignment horizontal="center" vertical="center"/>
    </xf>
    <xf numFmtId="164" fontId="0" fillId="37" borderId="9" xfId="0" applyNumberFormat="1" applyFill="1" applyBorder="1" applyAlignment="1">
      <alignment horizontal="center" vertical="center"/>
    </xf>
    <xf numFmtId="1" fontId="0" fillId="37" borderId="0" xfId="0" applyNumberFormat="1" applyFill="1" applyAlignment="1">
      <alignment horizontal="center"/>
    </xf>
    <xf numFmtId="0" fontId="0" fillId="37" borderId="0" xfId="0" applyFill="1" applyAlignment="1">
      <alignment horizontal="center" vertical="center"/>
    </xf>
    <xf numFmtId="2" fontId="0" fillId="37" borderId="0" xfId="0" applyNumberFormat="1" applyFill="1" applyAlignment="1">
      <alignment horizontal="center" vertical="center"/>
    </xf>
    <xf numFmtId="2" fontId="0" fillId="37" borderId="9" xfId="0" applyNumberFormat="1" applyFill="1" applyBorder="1" applyAlignment="1">
      <alignment horizontal="center"/>
    </xf>
    <xf numFmtId="2" fontId="0" fillId="37" borderId="0" xfId="0" applyNumberFormat="1" applyFill="1" applyAlignment="1">
      <alignment horizontal="center"/>
    </xf>
    <xf numFmtId="164" fontId="0" fillId="37" borderId="26" xfId="0" applyNumberFormat="1" applyFill="1" applyBorder="1" applyAlignment="1">
      <alignment horizontal="center" vertical="center"/>
    </xf>
    <xf numFmtId="164" fontId="0" fillId="37" borderId="26" xfId="0" applyNumberFormat="1" applyFill="1" applyBorder="1" applyAlignment="1">
      <alignment horizontal="center"/>
    </xf>
    <xf numFmtId="164" fontId="1" fillId="0" borderId="0" xfId="0" applyNumberFormat="1" applyFont="1" applyAlignment="1">
      <alignment horizontal="center"/>
    </xf>
    <xf numFmtId="164" fontId="0" fillId="37" borderId="23" xfId="0" applyNumberFormat="1" applyFill="1" applyBorder="1" applyAlignment="1">
      <alignment horizontal="center"/>
    </xf>
    <xf numFmtId="164" fontId="0" fillId="37" borderId="25" xfId="0" applyNumberFormat="1" applyFill="1" applyBorder="1" applyAlignment="1">
      <alignment horizontal="center"/>
    </xf>
    <xf numFmtId="164" fontId="0" fillId="37" borderId="23" xfId="0" applyNumberFormat="1" applyFill="1" applyBorder="1" applyAlignment="1">
      <alignment horizontal="center" vertical="center"/>
    </xf>
    <xf numFmtId="1" fontId="0" fillId="37" borderId="0" xfId="0" applyNumberFormat="1" applyFill="1" applyAlignment="1">
      <alignment horizontal="center" vertical="center"/>
    </xf>
    <xf numFmtId="164" fontId="0" fillId="37" borderId="28" xfId="0" applyNumberFormat="1" applyFill="1" applyBorder="1" applyAlignment="1">
      <alignment horizontal="center"/>
    </xf>
    <xf numFmtId="1" fontId="0" fillId="37" borderId="0" xfId="0" applyNumberFormat="1" applyFill="1" applyAlignment="1">
      <alignment horizontal="left" vertical="center"/>
    </xf>
    <xf numFmtId="164" fontId="0" fillId="38" borderId="28" xfId="0" applyNumberFormat="1" applyFill="1" applyBorder="1" applyAlignment="1">
      <alignment horizontal="center"/>
    </xf>
    <xf numFmtId="0" fontId="15" fillId="0" borderId="0" xfId="0" applyFont="1"/>
    <xf numFmtId="0" fontId="2" fillId="0" borderId="0" xfId="0" applyFont="1"/>
    <xf numFmtId="164" fontId="0" fillId="37" borderId="10" xfId="0" applyNumberFormat="1" applyFill="1" applyBorder="1" applyAlignment="1">
      <alignment horizontal="center"/>
    </xf>
    <xf numFmtId="0" fontId="2" fillId="0" borderId="9" xfId="0" applyFont="1" applyBorder="1" applyAlignment="1">
      <alignment wrapText="1"/>
    </xf>
    <xf numFmtId="164" fontId="0" fillId="42" borderId="24" xfId="0" applyNumberFormat="1" applyFill="1" applyBorder="1" applyAlignment="1">
      <alignment horizontal="center"/>
    </xf>
    <xf numFmtId="0" fontId="33" fillId="0" borderId="0" xfId="0" applyFont="1" applyAlignment="1">
      <alignment horizontal="center" vertical="center"/>
    </xf>
    <xf numFmtId="1" fontId="0" fillId="38" borderId="0" xfId="0" applyNumberFormat="1" applyFill="1" applyAlignment="1">
      <alignment horizontal="center"/>
    </xf>
    <xf numFmtId="1" fontId="0" fillId="38" borderId="9" xfId="0" applyNumberFormat="1" applyFill="1" applyBorder="1" applyAlignment="1">
      <alignment horizontal="center" vertical="center"/>
    </xf>
    <xf numFmtId="1" fontId="0" fillId="38" borderId="9" xfId="0" applyNumberFormat="1" applyFill="1" applyBorder="1" applyAlignment="1">
      <alignment horizontal="center"/>
    </xf>
    <xf numFmtId="1" fontId="0" fillId="38" borderId="26" xfId="0" applyNumberFormat="1" applyFill="1" applyBorder="1" applyAlignment="1">
      <alignment horizontal="center" vertical="center"/>
    </xf>
    <xf numFmtId="1" fontId="0" fillId="38" borderId="26" xfId="0" applyNumberFormat="1" applyFill="1" applyBorder="1" applyAlignment="1">
      <alignment horizontal="center"/>
    </xf>
    <xf numFmtId="0" fontId="2" fillId="37" borderId="0" xfId="0" applyFont="1" applyFill="1" applyAlignment="1">
      <alignment horizontal="left"/>
    </xf>
    <xf numFmtId="164" fontId="0" fillId="37" borderId="22" xfId="0" applyNumberFormat="1" applyFill="1" applyBorder="1" applyAlignment="1">
      <alignment horizontal="center"/>
    </xf>
    <xf numFmtId="164" fontId="0" fillId="38" borderId="24" xfId="0" applyNumberFormat="1" applyFill="1" applyBorder="1" applyAlignment="1">
      <alignment horizontal="center"/>
    </xf>
    <xf numFmtId="0" fontId="1" fillId="0" borderId="0" xfId="0" applyFont="1" applyAlignment="1">
      <alignment horizontal="center" vertical="center"/>
    </xf>
    <xf numFmtId="0" fontId="0" fillId="37" borderId="9" xfId="0" applyFill="1" applyBorder="1" applyAlignment="1">
      <alignment horizontal="center" vertical="center"/>
    </xf>
    <xf numFmtId="0" fontId="0" fillId="37" borderId="26" xfId="0" applyFill="1" applyBorder="1" applyAlignment="1">
      <alignment horizontal="center" vertical="center"/>
    </xf>
    <xf numFmtId="0" fontId="0" fillId="37" borderId="26" xfId="0" applyFill="1" applyBorder="1" applyAlignment="1">
      <alignment horizontal="center"/>
    </xf>
    <xf numFmtId="0" fontId="0" fillId="37" borderId="23" xfId="0" applyFill="1" applyBorder="1" applyAlignment="1">
      <alignment horizontal="center"/>
    </xf>
    <xf numFmtId="0" fontId="0" fillId="38" borderId="26" xfId="0" applyFill="1" applyBorder="1" applyAlignment="1">
      <alignment horizontal="center"/>
    </xf>
    <xf numFmtId="0" fontId="0" fillId="38" borderId="23" xfId="0" applyFill="1" applyBorder="1" applyAlignment="1">
      <alignment horizontal="center"/>
    </xf>
    <xf numFmtId="0" fontId="0" fillId="38" borderId="0" xfId="0" applyFill="1" applyAlignment="1">
      <alignment horizontal="center" vertical="center"/>
    </xf>
    <xf numFmtId="0" fontId="0" fillId="38" borderId="25" xfId="0" applyFill="1" applyBorder="1" applyAlignment="1">
      <alignment horizontal="center"/>
    </xf>
    <xf numFmtId="0" fontId="36" fillId="37" borderId="0" xfId="0" applyFont="1" applyFill="1" applyAlignment="1">
      <alignment horizontal="center"/>
    </xf>
    <xf numFmtId="0" fontId="35" fillId="37" borderId="0" xfId="0" applyFont="1" applyFill="1" applyAlignment="1">
      <alignment horizontal="left" vertical="center"/>
    </xf>
    <xf numFmtId="0" fontId="15" fillId="38" borderId="0" xfId="0" applyFont="1" applyFill="1"/>
    <xf numFmtId="0" fontId="0" fillId="38" borderId="0" xfId="0" applyFill="1"/>
    <xf numFmtId="0" fontId="2" fillId="38" borderId="0" xfId="0" applyFont="1" applyFill="1"/>
    <xf numFmtId="0" fontId="2" fillId="38" borderId="0" xfId="0" applyFont="1" applyFill="1" applyAlignment="1">
      <alignment horizontal="left"/>
    </xf>
    <xf numFmtId="0" fontId="0" fillId="38" borderId="0" xfId="0" applyFill="1" applyAlignment="1">
      <alignment horizontal="left" vertical="center"/>
    </xf>
    <xf numFmtId="0" fontId="0" fillId="39" borderId="0" xfId="0" applyFill="1" applyAlignment="1">
      <alignment horizontal="center"/>
    </xf>
    <xf numFmtId="0" fontId="32" fillId="0" borderId="10" xfId="0" applyFont="1" applyBorder="1" applyAlignment="1">
      <alignment vertical="center"/>
    </xf>
    <xf numFmtId="0" fontId="2" fillId="37" borderId="0" xfId="0" applyFont="1" applyFill="1" applyAlignment="1">
      <alignment horizontal="right" vertical="center"/>
    </xf>
    <xf numFmtId="2" fontId="0" fillId="37" borderId="0" xfId="0" applyNumberFormat="1" applyFill="1"/>
    <xf numFmtId="0" fontId="6" fillId="38" borderId="0" xfId="0" applyFont="1" applyFill="1" applyAlignment="1">
      <alignment horizontal="left" vertical="center"/>
    </xf>
    <xf numFmtId="0" fontId="2" fillId="38" borderId="0" xfId="0" applyFont="1" applyFill="1" applyAlignment="1">
      <alignment horizontal="left" vertical="center"/>
    </xf>
    <xf numFmtId="0" fontId="2" fillId="37" borderId="0" xfId="0" applyFont="1" applyFill="1" applyAlignment="1">
      <alignment horizontal="left" vertical="center"/>
    </xf>
    <xf numFmtId="164" fontId="0" fillId="38" borderId="0" xfId="0" applyNumberFormat="1" applyFill="1"/>
    <xf numFmtId="0" fontId="6" fillId="38" borderId="0" xfId="0" applyFont="1" applyFill="1" applyAlignment="1">
      <alignment horizontal="right"/>
    </xf>
    <xf numFmtId="164" fontId="0" fillId="38" borderId="9" xfId="0" applyNumberFormat="1" applyFill="1" applyBorder="1"/>
    <xf numFmtId="0" fontId="2" fillId="38" borderId="0" xfId="0" applyFont="1" applyFill="1" applyAlignment="1">
      <alignment horizontal="right"/>
    </xf>
    <xf numFmtId="164" fontId="0" fillId="41" borderId="9" xfId="0" applyNumberFormat="1" applyFill="1" applyBorder="1"/>
    <xf numFmtId="164" fontId="15" fillId="38" borderId="0" xfId="0" applyNumberFormat="1" applyFont="1" applyFill="1"/>
    <xf numFmtId="0" fontId="2" fillId="37" borderId="0" xfId="0" applyFont="1" applyFill="1" applyAlignment="1">
      <alignment horizontal="right"/>
    </xf>
    <xf numFmtId="164" fontId="0" fillId="41" borderId="9" xfId="0" applyNumberFormat="1" applyFill="1" applyBorder="1" applyAlignment="1">
      <alignment horizontal="center"/>
    </xf>
    <xf numFmtId="0" fontId="15" fillId="38" borderId="0" xfId="0" applyFont="1" applyFill="1" applyAlignment="1">
      <alignment horizontal="right"/>
    </xf>
    <xf numFmtId="164" fontId="15" fillId="38" borderId="12" xfId="0" applyNumberFormat="1" applyFont="1" applyFill="1" applyBorder="1"/>
    <xf numFmtId="0" fontId="15" fillId="37" borderId="0" xfId="0" applyFont="1" applyFill="1" applyAlignment="1">
      <alignment horizontal="right"/>
    </xf>
    <xf numFmtId="164" fontId="15" fillId="37" borderId="12" xfId="0" applyNumberFormat="1" applyFont="1" applyFill="1" applyBorder="1" applyAlignment="1">
      <alignment horizontal="center"/>
    </xf>
    <xf numFmtId="0" fontId="15" fillId="37" borderId="12" xfId="0" applyFont="1" applyFill="1" applyBorder="1" applyAlignment="1">
      <alignment horizontal="center"/>
    </xf>
    <xf numFmtId="0" fontId="4" fillId="38" borderId="0" xfId="0" applyFont="1" applyFill="1" applyAlignment="1">
      <alignment horizontal="right"/>
    </xf>
    <xf numFmtId="0" fontId="0" fillId="38" borderId="0" xfId="0" applyFill="1" applyAlignment="1">
      <alignment horizontal="right"/>
    </xf>
    <xf numFmtId="0" fontId="4" fillId="37" borderId="0" xfId="0" applyFont="1" applyFill="1" applyAlignment="1">
      <alignment horizontal="right"/>
    </xf>
    <xf numFmtId="0" fontId="2" fillId="2" borderId="9" xfId="0" applyFont="1" applyFill="1" applyBorder="1"/>
    <xf numFmtId="0" fontId="32" fillId="0" borderId="9" xfId="0" applyFont="1" applyBorder="1" applyAlignment="1">
      <alignment vertical="center"/>
    </xf>
    <xf numFmtId="0" fontId="32" fillId="0" borderId="9" xfId="0" applyFont="1" applyBorder="1" applyAlignment="1">
      <alignment vertical="center" wrapText="1"/>
    </xf>
    <xf numFmtId="0" fontId="2" fillId="2" borderId="9" xfId="0" applyFont="1" applyFill="1" applyBorder="1" applyAlignment="1">
      <alignment wrapText="1"/>
    </xf>
    <xf numFmtId="0" fontId="2" fillId="0" borderId="0" xfId="0" applyFont="1" applyAlignment="1">
      <alignment horizontal="center"/>
    </xf>
    <xf numFmtId="0" fontId="3" fillId="0" borderId="0" xfId="0" applyFont="1" applyAlignment="1">
      <alignment horizontal="left" vertical="top"/>
    </xf>
    <xf numFmtId="164" fontId="0" fillId="40" borderId="0" xfId="0" applyNumberFormat="1" applyFill="1"/>
    <xf numFmtId="0" fontId="1" fillId="37" borderId="0" xfId="0" applyFont="1" applyFill="1"/>
    <xf numFmtId="164" fontId="0" fillId="38" borderId="22" xfId="0" applyNumberFormat="1" applyFill="1" applyBorder="1" applyAlignment="1">
      <alignment horizontal="center"/>
    </xf>
    <xf numFmtId="164" fontId="0" fillId="39" borderId="27" xfId="0" applyNumberFormat="1" applyFill="1" applyBorder="1" applyAlignment="1">
      <alignment horizontal="center"/>
    </xf>
    <xf numFmtId="0" fontId="2" fillId="38" borderId="0" xfId="0" applyFont="1" applyFill="1" applyAlignment="1">
      <alignment horizontal="center" vertical="center"/>
    </xf>
    <xf numFmtId="165" fontId="0" fillId="37" borderId="0" xfId="0" applyNumberFormat="1" applyFill="1" applyAlignment="1">
      <alignment horizontal="center"/>
    </xf>
    <xf numFmtId="164" fontId="0" fillId="37" borderId="31" xfId="0" applyNumberFormat="1" applyFill="1" applyBorder="1" applyAlignment="1">
      <alignment horizontal="center"/>
    </xf>
    <xf numFmtId="164" fontId="0" fillId="37" borderId="0" xfId="0" applyNumberFormat="1" applyFill="1" applyAlignment="1">
      <alignment horizontal="left"/>
    </xf>
    <xf numFmtId="0" fontId="0" fillId="37" borderId="32" xfId="0" applyFill="1" applyBorder="1"/>
    <xf numFmtId="164" fontId="15" fillId="37" borderId="0" xfId="0" applyNumberFormat="1" applyFont="1" applyFill="1" applyAlignment="1">
      <alignment horizontal="center"/>
    </xf>
    <xf numFmtId="0" fontId="1" fillId="38" borderId="0" xfId="0" applyFont="1" applyFill="1"/>
    <xf numFmtId="166" fontId="0" fillId="38" borderId="0" xfId="0" applyNumberFormat="1" applyFill="1"/>
    <xf numFmtId="0" fontId="15" fillId="38" borderId="0" xfId="0" applyFont="1" applyFill="1" applyAlignment="1">
      <alignment horizontal="center"/>
    </xf>
    <xf numFmtId="164" fontId="15" fillId="38" borderId="0" xfId="0" applyNumberFormat="1" applyFont="1" applyFill="1" applyAlignment="1">
      <alignment horizontal="center"/>
    </xf>
    <xf numFmtId="164" fontId="0" fillId="39" borderId="9" xfId="0" applyNumberFormat="1" applyFill="1" applyBorder="1" applyAlignment="1">
      <alignment horizontal="center"/>
    </xf>
    <xf numFmtId="164" fontId="0" fillId="39" borderId="26" xfId="0" applyNumberFormat="1" applyFill="1" applyBorder="1" applyAlignment="1">
      <alignment horizontal="center"/>
    </xf>
    <xf numFmtId="2" fontId="0" fillId="39" borderId="9" xfId="0" applyNumberFormat="1" applyFill="1" applyBorder="1" applyAlignment="1">
      <alignment horizontal="center"/>
    </xf>
    <xf numFmtId="0" fontId="0" fillId="42" borderId="0" xfId="0" applyFill="1"/>
    <xf numFmtId="0" fontId="0" fillId="42" borderId="0" xfId="0" applyFill="1" applyAlignment="1">
      <alignment horizontal="center"/>
    </xf>
    <xf numFmtId="1" fontId="0" fillId="42" borderId="0" xfId="0" applyNumberFormat="1" applyFill="1"/>
    <xf numFmtId="0" fontId="0" fillId="42" borderId="0" xfId="0" applyFill="1" applyAlignment="1">
      <alignment horizontal="right"/>
    </xf>
    <xf numFmtId="0" fontId="30" fillId="0" borderId="0" xfId="0" applyFont="1" applyAlignment="1">
      <alignment horizontal="center"/>
    </xf>
    <xf numFmtId="0" fontId="0" fillId="0" borderId="34" xfId="0" applyBorder="1" applyAlignment="1">
      <alignment horizontal="center" wrapText="1"/>
    </xf>
    <xf numFmtId="0" fontId="0" fillId="0" borderId="0" xfId="0" applyAlignment="1">
      <alignment horizontal="center" wrapText="1"/>
    </xf>
    <xf numFmtId="0" fontId="0" fillId="0" borderId="37" xfId="0" applyBorder="1" applyAlignment="1">
      <alignment horizontal="center" wrapText="1"/>
    </xf>
    <xf numFmtId="0" fontId="15" fillId="0" borderId="25" xfId="0" applyFont="1" applyBorder="1"/>
    <xf numFmtId="0" fontId="15" fillId="0" borderId="30" xfId="0" applyFont="1" applyBorder="1"/>
    <xf numFmtId="0" fontId="15" fillId="0" borderId="32" xfId="0" applyFont="1" applyBorder="1"/>
    <xf numFmtId="0" fontId="15" fillId="0" borderId="10" xfId="0" applyFont="1" applyBorder="1"/>
    <xf numFmtId="0" fontId="15" fillId="0" borderId="12" xfId="0" applyFont="1" applyBorder="1"/>
    <xf numFmtId="0" fontId="15" fillId="0" borderId="11" xfId="0" applyFont="1" applyBorder="1"/>
    <xf numFmtId="0" fontId="6" fillId="0" borderId="0" xfId="0" applyFont="1" applyAlignment="1">
      <alignment horizontal="center" vertical="center"/>
    </xf>
    <xf numFmtId="0" fontId="6" fillId="0" borderId="0" xfId="0" applyFont="1"/>
    <xf numFmtId="0" fontId="32" fillId="0" borderId="0" xfId="0" applyFont="1"/>
    <xf numFmtId="0" fontId="43" fillId="0" borderId="0" xfId="0" applyFont="1"/>
    <xf numFmtId="0" fontId="0" fillId="0" borderId="0" xfId="0" applyAlignment="1">
      <alignment vertical="top"/>
    </xf>
    <xf numFmtId="164" fontId="30" fillId="0" borderId="0" xfId="0" applyNumberFormat="1" applyFont="1" applyAlignment="1">
      <alignment horizontal="center"/>
    </xf>
    <xf numFmtId="0" fontId="32" fillId="0" borderId="0" xfId="0" applyFont="1" applyAlignment="1">
      <alignment vertical="center" wrapText="1"/>
    </xf>
    <xf numFmtId="0" fontId="0" fillId="0" borderId="9" xfId="0" applyBorder="1"/>
    <xf numFmtId="0" fontId="0" fillId="0" borderId="9" xfId="0" applyBorder="1" applyAlignment="1" applyProtection="1">
      <alignment horizontal="center"/>
      <protection locked="0"/>
    </xf>
    <xf numFmtId="2" fontId="0" fillId="38" borderId="9" xfId="0" applyNumberFormat="1" applyFill="1" applyBorder="1" applyAlignment="1">
      <alignment horizontal="center" vertical="center"/>
    </xf>
    <xf numFmtId="2" fontId="0" fillId="38" borderId="26" xfId="0" applyNumberFormat="1" applyFill="1" applyBorder="1" applyAlignment="1">
      <alignment horizontal="center" vertical="center"/>
    </xf>
    <xf numFmtId="0" fontId="2" fillId="0" borderId="0" xfId="0" applyFont="1" applyAlignment="1">
      <alignment horizontal="right"/>
    </xf>
    <xf numFmtId="2" fontId="0" fillId="38" borderId="0" xfId="0" applyNumberFormat="1" applyFill="1" applyAlignment="1">
      <alignment horizontal="left"/>
    </xf>
    <xf numFmtId="0" fontId="0" fillId="38" borderId="0" xfId="0" applyFill="1" applyAlignment="1">
      <alignment horizontal="center"/>
    </xf>
    <xf numFmtId="164" fontId="0" fillId="38" borderId="9" xfId="0" applyNumberFormat="1" applyFill="1" applyBorder="1" applyAlignment="1">
      <alignment horizontal="center"/>
    </xf>
    <xf numFmtId="164" fontId="0" fillId="38" borderId="9" xfId="0" applyNumberFormat="1" applyFill="1" applyBorder="1" applyAlignment="1">
      <alignment horizontal="center" vertical="center"/>
    </xf>
    <xf numFmtId="164" fontId="0" fillId="38" borderId="26" xfId="0" applyNumberFormat="1" applyFill="1" applyBorder="1" applyAlignment="1">
      <alignment horizontal="center" vertical="center"/>
    </xf>
    <xf numFmtId="164" fontId="0" fillId="38" borderId="26" xfId="0" applyNumberFormat="1" applyFill="1" applyBorder="1" applyAlignment="1">
      <alignment horizontal="center"/>
    </xf>
    <xf numFmtId="164" fontId="0" fillId="38" borderId="23" xfId="0" applyNumberFormat="1" applyFill="1" applyBorder="1" applyAlignment="1">
      <alignment horizontal="center"/>
    </xf>
    <xf numFmtId="164" fontId="0" fillId="38" borderId="25" xfId="0" applyNumberFormat="1" applyFill="1" applyBorder="1" applyAlignment="1">
      <alignment horizontal="center"/>
    </xf>
    <xf numFmtId="164" fontId="0" fillId="38" borderId="0" xfId="0" applyNumberFormat="1" applyFill="1" applyAlignment="1">
      <alignment horizontal="center"/>
    </xf>
    <xf numFmtId="164" fontId="0" fillId="39" borderId="24" xfId="0" applyNumberFormat="1" applyFill="1" applyBorder="1" applyAlignment="1">
      <alignment horizontal="center"/>
    </xf>
    <xf numFmtId="0" fontId="0" fillId="38" borderId="9" xfId="0" applyFill="1" applyBorder="1" applyAlignment="1">
      <alignment horizontal="center" vertical="center"/>
    </xf>
    <xf numFmtId="0" fontId="0" fillId="38" borderId="26" xfId="0" applyFill="1" applyBorder="1" applyAlignment="1">
      <alignment horizontal="center" vertical="center"/>
    </xf>
    <xf numFmtId="164" fontId="0" fillId="38" borderId="10" xfId="0" applyNumberFormat="1" applyFill="1" applyBorder="1" applyAlignment="1">
      <alignment horizontal="center"/>
    </xf>
    <xf numFmtId="0" fontId="2" fillId="38" borderId="0" xfId="0" applyFont="1" applyFill="1" applyAlignment="1">
      <alignment horizontal="center"/>
    </xf>
    <xf numFmtId="164" fontId="0" fillId="38" borderId="0" xfId="0" applyNumberFormat="1" applyFill="1" applyAlignment="1">
      <alignment horizontal="center" vertical="center"/>
    </xf>
    <xf numFmtId="0" fontId="0" fillId="39" borderId="0" xfId="0" applyFill="1" applyAlignment="1">
      <alignment horizontal="center" vertical="center"/>
    </xf>
    <xf numFmtId="2" fontId="0" fillId="38" borderId="9" xfId="0" applyNumberFormat="1" applyFill="1" applyBorder="1" applyAlignment="1">
      <alignment horizontal="center"/>
    </xf>
    <xf numFmtId="2" fontId="0" fillId="38" borderId="26" xfId="0" applyNumberFormat="1" applyFill="1" applyBorder="1" applyAlignment="1">
      <alignment horizontal="center"/>
    </xf>
    <xf numFmtId="164" fontId="0" fillId="39" borderId="23" xfId="0" applyNumberFormat="1" applyFill="1" applyBorder="1" applyAlignment="1">
      <alignment horizontal="center"/>
    </xf>
    <xf numFmtId="0" fontId="0" fillId="38" borderId="10" xfId="0" applyFill="1" applyBorder="1" applyAlignment="1">
      <alignment horizontal="center" vertical="center"/>
    </xf>
    <xf numFmtId="0" fontId="0" fillId="38" borderId="29" xfId="0" applyFill="1" applyBorder="1" applyAlignment="1">
      <alignment horizontal="center" vertical="center"/>
    </xf>
    <xf numFmtId="0" fontId="0" fillId="38" borderId="0" xfId="0" applyFill="1" applyAlignment="1">
      <alignment horizontal="left"/>
    </xf>
    <xf numFmtId="0" fontId="0" fillId="0" borderId="9" xfId="0" applyBorder="1" applyAlignment="1">
      <alignment horizontal="left"/>
    </xf>
    <xf numFmtId="0" fontId="0" fillId="40" borderId="0" xfId="0" applyFill="1" applyAlignment="1">
      <alignment horizontal="center"/>
    </xf>
    <xf numFmtId="0" fontId="36" fillId="37" borderId="0" xfId="0" applyFont="1" applyFill="1"/>
    <xf numFmtId="0" fontId="1" fillId="37" borderId="0" xfId="0" applyFont="1" applyFill="1" applyAlignment="1">
      <alignment horizontal="right"/>
    </xf>
    <xf numFmtId="0" fontId="1" fillId="37" borderId="0" xfId="0" applyFont="1" applyFill="1" applyAlignment="1">
      <alignment horizontal="left" vertical="center"/>
    </xf>
    <xf numFmtId="0" fontId="0" fillId="37" borderId="30" xfId="0" applyFill="1" applyBorder="1"/>
    <xf numFmtId="0" fontId="0" fillId="37" borderId="30" xfId="0" applyFill="1" applyBorder="1" applyAlignment="1">
      <alignment horizontal="center"/>
    </xf>
    <xf numFmtId="1" fontId="0" fillId="37" borderId="0" xfId="0" applyNumberFormat="1" applyFill="1"/>
    <xf numFmtId="0" fontId="0" fillId="37" borderId="22" xfId="0" applyFill="1" applyBorder="1" applyAlignment="1">
      <alignment horizontal="center"/>
    </xf>
    <xf numFmtId="0" fontId="0" fillId="0" borderId="30" xfId="0" applyBorder="1" applyAlignment="1">
      <alignment horizontal="center"/>
    </xf>
    <xf numFmtId="0" fontId="0" fillId="0" borderId="30" xfId="0" applyBorder="1"/>
    <xf numFmtId="2" fontId="0" fillId="39" borderId="22" xfId="0" applyNumberFormat="1" applyFill="1" applyBorder="1" applyAlignment="1">
      <alignment horizontal="center"/>
    </xf>
    <xf numFmtId="2" fontId="0" fillId="38" borderId="25" xfId="0" applyNumberFormat="1" applyFill="1" applyBorder="1" applyAlignment="1">
      <alignment horizontal="center"/>
    </xf>
    <xf numFmtId="0" fontId="0" fillId="43" borderId="24" xfId="0" applyFill="1" applyBorder="1" applyAlignment="1">
      <alignment horizontal="center"/>
    </xf>
    <xf numFmtId="164" fontId="0" fillId="39" borderId="9" xfId="0" applyNumberFormat="1" applyFill="1" applyBorder="1" applyAlignment="1">
      <alignment horizontal="center" vertical="center"/>
    </xf>
    <xf numFmtId="164" fontId="0" fillId="39" borderId="26" xfId="0" applyNumberFormat="1" applyFill="1" applyBorder="1" applyAlignment="1">
      <alignment horizontal="center" vertical="center"/>
    </xf>
    <xf numFmtId="0" fontId="30" fillId="0" borderId="0" xfId="0" applyFont="1" applyAlignment="1">
      <alignment horizontal="left"/>
    </xf>
    <xf numFmtId="0" fontId="44" fillId="37" borderId="0" xfId="0" applyFont="1" applyFill="1"/>
    <xf numFmtId="0" fontId="0" fillId="3" borderId="0" xfId="0" applyFill="1"/>
    <xf numFmtId="164" fontId="0" fillId="3" borderId="0" xfId="0" applyNumberFormat="1" applyFill="1"/>
    <xf numFmtId="2" fontId="0" fillId="3" borderId="0" xfId="0" applyNumberFormat="1" applyFill="1" applyAlignment="1">
      <alignment horizontal="center" vertical="center"/>
    </xf>
    <xf numFmtId="0" fontId="0" fillId="3" borderId="0" xfId="0" applyFill="1" applyAlignment="1">
      <alignment horizontal="center" vertical="center"/>
    </xf>
    <xf numFmtId="0" fontId="0" fillId="3" borderId="0" xfId="0" applyFill="1" applyAlignment="1">
      <alignment horizontal="right"/>
    </xf>
    <xf numFmtId="164" fontId="0" fillId="3" borderId="0" xfId="0" applyNumberFormat="1" applyFill="1" applyAlignment="1">
      <alignment horizontal="center"/>
    </xf>
    <xf numFmtId="166" fontId="30" fillId="0" borderId="0" xfId="0" applyNumberFormat="1" applyFont="1" applyAlignment="1">
      <alignment horizontal="left"/>
    </xf>
    <xf numFmtId="0" fontId="6" fillId="0" borderId="0" xfId="0" applyFont="1" applyAlignment="1">
      <alignment horizontal="left"/>
    </xf>
    <xf numFmtId="0" fontId="2" fillId="0" borderId="0" xfId="0" applyFont="1" applyAlignment="1">
      <alignment horizontal="center" vertical="center" wrapText="1"/>
    </xf>
    <xf numFmtId="0" fontId="0" fillId="0" borderId="35" xfId="0" applyBorder="1"/>
    <xf numFmtId="0" fontId="2" fillId="0" borderId="33" xfId="0" applyFont="1" applyBorder="1" applyAlignment="1">
      <alignment horizontal="center" vertical="center" wrapText="1"/>
    </xf>
    <xf numFmtId="0" fontId="2" fillId="0" borderId="36" xfId="0" applyFont="1" applyBorder="1" applyAlignment="1">
      <alignment horizontal="center" vertical="center" wrapText="1"/>
    </xf>
    <xf numFmtId="0" fontId="0" fillId="0" borderId="34" xfId="0" applyBorder="1"/>
    <xf numFmtId="0" fontId="0" fillId="0" borderId="37" xfId="0" applyBorder="1" applyAlignment="1">
      <alignment horizontal="center" vertical="center" wrapText="1"/>
    </xf>
    <xf numFmtId="0" fontId="15" fillId="0" borderId="0" xfId="0" applyFont="1" applyAlignment="1">
      <alignment horizontal="left"/>
    </xf>
    <xf numFmtId="0" fontId="0" fillId="0" borderId="9" xfId="0" applyBorder="1" applyAlignment="1">
      <alignment horizontal="center"/>
    </xf>
    <xf numFmtId="0" fontId="15" fillId="0" borderId="34" xfId="0" applyFont="1" applyBorder="1" applyAlignment="1">
      <alignment horizontal="left"/>
    </xf>
    <xf numFmtId="0" fontId="15" fillId="0" borderId="37" xfId="0" applyFont="1" applyBorder="1" applyAlignment="1">
      <alignment horizontal="left"/>
    </xf>
    <xf numFmtId="0" fontId="0" fillId="3" borderId="9" xfId="0" applyFill="1" applyBorder="1"/>
    <xf numFmtId="164" fontId="0" fillId="3" borderId="9" xfId="0" applyNumberFormat="1" applyFill="1" applyBorder="1" applyAlignment="1">
      <alignment horizontal="center"/>
    </xf>
    <xf numFmtId="164" fontId="0" fillId="3" borderId="0" xfId="0" applyNumberFormat="1" applyFill="1" applyAlignment="1">
      <alignment horizontal="left"/>
    </xf>
    <xf numFmtId="0" fontId="45" fillId="3" borderId="0" xfId="0" applyFont="1" applyFill="1"/>
    <xf numFmtId="164" fontId="0" fillId="0" borderId="0" xfId="0" applyNumberFormat="1" applyAlignment="1">
      <alignment horizontal="center"/>
    </xf>
    <xf numFmtId="0" fontId="2" fillId="0" borderId="9" xfId="0" applyFont="1" applyBorder="1" applyAlignment="1">
      <alignment vertical="center"/>
    </xf>
    <xf numFmtId="0" fontId="30" fillId="0" borderId="0" xfId="0" applyFont="1" applyAlignment="1">
      <alignment horizontal="left" vertical="center"/>
    </xf>
    <xf numFmtId="2" fontId="30" fillId="0" borderId="0" xfId="0" applyNumberFormat="1" applyFont="1" applyAlignment="1">
      <alignment horizontal="center"/>
    </xf>
    <xf numFmtId="0" fontId="2" fillId="0" borderId="0" xfId="0" applyFont="1" applyAlignment="1">
      <alignment horizontal="left"/>
    </xf>
    <xf numFmtId="0" fontId="0" fillId="38" borderId="0" xfId="0" applyFill="1" applyAlignment="1">
      <alignment wrapText="1"/>
    </xf>
    <xf numFmtId="164" fontId="0" fillId="38" borderId="34" xfId="0" applyNumberFormat="1" applyFill="1" applyBorder="1" applyAlignment="1">
      <alignment horizontal="center"/>
    </xf>
    <xf numFmtId="2" fontId="15" fillId="38" borderId="0" xfId="0" applyNumberFormat="1" applyFont="1" applyFill="1" applyAlignment="1">
      <alignment horizontal="center"/>
    </xf>
    <xf numFmtId="0" fontId="3" fillId="0" borderId="0" xfId="0" applyFont="1" applyAlignment="1">
      <alignment horizontal="left"/>
    </xf>
    <xf numFmtId="0" fontId="2" fillId="2" borderId="0" xfId="0" applyFont="1" applyFill="1"/>
    <xf numFmtId="2" fontId="0" fillId="0" borderId="0" xfId="0" applyNumberFormat="1" applyAlignment="1">
      <alignment horizontal="center"/>
    </xf>
    <xf numFmtId="2" fontId="0" fillId="0" borderId="30" xfId="0" applyNumberFormat="1" applyBorder="1" applyAlignment="1">
      <alignment horizontal="center"/>
    </xf>
    <xf numFmtId="1" fontId="0" fillId="0" borderId="0" xfId="0" applyNumberFormat="1" applyAlignment="1">
      <alignment horizontal="center"/>
    </xf>
    <xf numFmtId="1" fontId="1" fillId="38" borderId="0" xfId="0" applyNumberFormat="1" applyFont="1" applyFill="1" applyAlignment="1">
      <alignment horizontal="center"/>
    </xf>
    <xf numFmtId="0" fontId="1" fillId="42" borderId="0" xfId="0" applyFont="1" applyFill="1"/>
    <xf numFmtId="0" fontId="1" fillId="0" borderId="0" xfId="0" applyFont="1" applyAlignment="1">
      <alignment horizontal="right"/>
    </xf>
    <xf numFmtId="164" fontId="0" fillId="38" borderId="22" xfId="0" applyNumberFormat="1" applyFill="1" applyBorder="1" applyAlignment="1">
      <alignment horizontal="center" vertical="center"/>
    </xf>
    <xf numFmtId="0" fontId="32" fillId="2" borderId="9" xfId="0" applyFont="1" applyFill="1" applyBorder="1" applyAlignment="1">
      <alignment vertical="center"/>
    </xf>
    <xf numFmtId="0" fontId="28" fillId="0" borderId="0" xfId="0" applyFont="1" applyAlignment="1">
      <alignment horizontal="left"/>
    </xf>
    <xf numFmtId="0" fontId="0" fillId="45" borderId="9" xfId="0" applyFill="1" applyBorder="1" applyAlignment="1" applyProtection="1">
      <alignment horizontal="center"/>
      <protection locked="0"/>
    </xf>
    <xf numFmtId="14" fontId="0" fillId="45" borderId="9" xfId="0" applyNumberFormat="1" applyFill="1" applyBorder="1" applyAlignment="1" applyProtection="1">
      <alignment horizontal="center"/>
      <protection locked="0"/>
    </xf>
    <xf numFmtId="0" fontId="0" fillId="45" borderId="9" xfId="0" applyFill="1" applyBorder="1" applyAlignment="1" applyProtection="1">
      <alignment horizontal="center" wrapText="1"/>
      <protection locked="0"/>
    </xf>
    <xf numFmtId="0" fontId="0" fillId="45" borderId="0" xfId="0" applyFill="1" applyProtection="1">
      <protection locked="0"/>
    </xf>
    <xf numFmtId="0" fontId="0" fillId="45" borderId="9" xfId="0" applyFill="1" applyBorder="1" applyAlignment="1" applyProtection="1">
      <alignment horizontal="center" vertical="center"/>
      <protection locked="0"/>
    </xf>
    <xf numFmtId="0" fontId="0" fillId="45" borderId="11" xfId="0" applyFill="1" applyBorder="1" applyAlignment="1" applyProtection="1">
      <alignment horizontal="center"/>
      <protection locked="0"/>
    </xf>
    <xf numFmtId="1" fontId="0" fillId="45" borderId="9" xfId="0" applyNumberFormat="1" applyFill="1" applyBorder="1" applyAlignment="1" applyProtection="1">
      <alignment horizontal="center"/>
      <protection locked="0"/>
    </xf>
    <xf numFmtId="0" fontId="0" fillId="46" borderId="9" xfId="0" applyFill="1" applyBorder="1" applyAlignment="1">
      <alignment horizontal="center"/>
    </xf>
    <xf numFmtId="2" fontId="0" fillId="46" borderId="9" xfId="0" applyNumberFormat="1" applyFill="1" applyBorder="1" applyAlignment="1">
      <alignment horizontal="center"/>
    </xf>
    <xf numFmtId="164" fontId="0" fillId="46" borderId="9" xfId="0" applyNumberFormat="1" applyFill="1" applyBorder="1" applyAlignment="1">
      <alignment horizontal="center"/>
    </xf>
    <xf numFmtId="0" fontId="0" fillId="46" borderId="9" xfId="0" applyFill="1" applyBorder="1" applyAlignment="1">
      <alignment horizontal="center" wrapText="1"/>
    </xf>
    <xf numFmtId="0" fontId="0" fillId="45" borderId="9" xfId="0" applyFill="1" applyBorder="1" applyAlignment="1" applyProtection="1">
      <alignment wrapText="1"/>
      <protection locked="0"/>
    </xf>
    <xf numFmtId="0" fontId="46" fillId="44" borderId="10" xfId="0" applyFont="1" applyFill="1" applyBorder="1" applyAlignment="1">
      <alignment horizontal="center" vertical="center"/>
    </xf>
    <xf numFmtId="0" fontId="46" fillId="44" borderId="12" xfId="0" applyFont="1" applyFill="1" applyBorder="1" applyAlignment="1">
      <alignment vertical="center"/>
    </xf>
    <xf numFmtId="0" fontId="30" fillId="44" borderId="12" xfId="0" applyFont="1" applyFill="1" applyBorder="1" applyAlignment="1">
      <alignment horizontal="center"/>
    </xf>
    <xf numFmtId="0" fontId="30" fillId="44" borderId="12" xfId="0" applyFont="1" applyFill="1" applyBorder="1"/>
    <xf numFmtId="0" fontId="30" fillId="44" borderId="11" xfId="0" applyFont="1" applyFill="1" applyBorder="1"/>
    <xf numFmtId="164" fontId="0" fillId="45" borderId="9" xfId="0" applyNumberFormat="1" applyFill="1" applyBorder="1" applyAlignment="1" applyProtection="1">
      <alignment horizontal="center" vertical="center"/>
      <protection locked="0"/>
    </xf>
    <xf numFmtId="0" fontId="0" fillId="46" borderId="9" xfId="0" applyFill="1" applyBorder="1" applyAlignment="1">
      <alignment horizontal="center" vertical="center"/>
    </xf>
    <xf numFmtId="0" fontId="0" fillId="46" borderId="0" xfId="0" applyFill="1"/>
    <xf numFmtId="0" fontId="30" fillId="44" borderId="9" xfId="0" applyFont="1" applyFill="1" applyBorder="1" applyAlignment="1">
      <alignment horizontal="center"/>
    </xf>
    <xf numFmtId="164" fontId="0" fillId="46" borderId="9" xfId="0" applyNumberFormat="1" applyFill="1" applyBorder="1" applyAlignment="1">
      <alignment horizontal="center" vertical="center"/>
    </xf>
    <xf numFmtId="0" fontId="10" fillId="45" borderId="9" xfId="0" applyFont="1" applyFill="1" applyBorder="1" applyAlignment="1" applyProtection="1">
      <alignment horizontal="center" vertical="center"/>
      <protection locked="0"/>
    </xf>
    <xf numFmtId="0" fontId="0" fillId="47" borderId="9" xfId="0" applyFill="1" applyBorder="1"/>
    <xf numFmtId="0" fontId="22" fillId="6" borderId="0" xfId="7" applyProtection="1"/>
    <xf numFmtId="0" fontId="28" fillId="44" borderId="10" xfId="0" applyFont="1" applyFill="1" applyBorder="1" applyAlignment="1">
      <alignment horizontal="center"/>
    </xf>
    <xf numFmtId="0" fontId="46" fillId="44" borderId="12" xfId="0" applyFont="1" applyFill="1" applyBorder="1"/>
    <xf numFmtId="0" fontId="30" fillId="44" borderId="12" xfId="0" applyFont="1" applyFill="1" applyBorder="1" applyAlignment="1">
      <alignment horizontal="left"/>
    </xf>
    <xf numFmtId="0" fontId="46" fillId="44" borderId="10" xfId="0" applyFont="1" applyFill="1" applyBorder="1"/>
    <xf numFmtId="167" fontId="0" fillId="46" borderId="9" xfId="0" applyNumberFormat="1" applyFill="1" applyBorder="1" applyAlignment="1">
      <alignment horizontal="center"/>
    </xf>
    <xf numFmtId="9" fontId="0" fillId="46" borderId="9" xfId="43" applyFont="1" applyFill="1" applyBorder="1" applyAlignment="1" applyProtection="1">
      <alignment horizontal="center"/>
    </xf>
    <xf numFmtId="1" fontId="0" fillId="46" borderId="9" xfId="0" applyNumberFormat="1" applyFill="1" applyBorder="1" applyAlignment="1">
      <alignment horizontal="center" vertical="center"/>
    </xf>
    <xf numFmtId="0" fontId="6" fillId="44" borderId="12" xfId="0" applyFont="1" applyFill="1" applyBorder="1"/>
    <xf numFmtId="0" fontId="6" fillId="44" borderId="11" xfId="0" applyFont="1" applyFill="1" applyBorder="1"/>
    <xf numFmtId="0" fontId="46" fillId="44" borderId="11" xfId="0" applyFont="1" applyFill="1" applyBorder="1"/>
    <xf numFmtId="9" fontId="0" fillId="45" borderId="9" xfId="43" applyFont="1" applyFill="1" applyBorder="1" applyAlignment="1" applyProtection="1">
      <alignment horizontal="center"/>
      <protection locked="0"/>
    </xf>
    <xf numFmtId="164" fontId="0" fillId="45" borderId="9" xfId="0" applyNumberFormat="1" applyFill="1" applyBorder="1" applyAlignment="1" applyProtection="1">
      <alignment horizontal="center"/>
      <protection locked="0"/>
    </xf>
    <xf numFmtId="164" fontId="0" fillId="45" borderId="22" xfId="0" applyNumberFormat="1" applyFill="1" applyBorder="1" applyAlignment="1" applyProtection="1">
      <alignment horizontal="center"/>
      <protection locked="0"/>
    </xf>
    <xf numFmtId="1" fontId="0" fillId="48" borderId="9" xfId="0" applyNumberFormat="1" applyFill="1" applyBorder="1" applyAlignment="1">
      <alignment horizontal="center"/>
    </xf>
    <xf numFmtId="1" fontId="0" fillId="48" borderId="24" xfId="0" applyNumberFormat="1" applyFill="1" applyBorder="1" applyAlignment="1">
      <alignment horizontal="center"/>
    </xf>
    <xf numFmtId="2" fontId="0" fillId="48" borderId="9" xfId="0" applyNumberFormat="1" applyFill="1" applyBorder="1" applyAlignment="1">
      <alignment horizontal="center"/>
    </xf>
    <xf numFmtId="2" fontId="0" fillId="48" borderId="24" xfId="0" applyNumberFormat="1" applyFill="1" applyBorder="1" applyAlignment="1">
      <alignment horizontal="center"/>
    </xf>
    <xf numFmtId="1" fontId="0" fillId="48" borderId="10" xfId="0" applyNumberFormat="1" applyFill="1" applyBorder="1" applyAlignment="1">
      <alignment horizontal="center"/>
    </xf>
    <xf numFmtId="164" fontId="0" fillId="48" borderId="9" xfId="0" applyNumberFormat="1" applyFill="1" applyBorder="1" applyAlignment="1">
      <alignment horizontal="center"/>
    </xf>
    <xf numFmtId="0" fontId="0" fillId="37" borderId="35" xfId="0" applyFill="1" applyBorder="1"/>
    <xf numFmtId="0" fontId="0" fillId="37" borderId="33" xfId="0" applyFill="1" applyBorder="1"/>
    <xf numFmtId="0" fontId="1" fillId="37" borderId="33" xfId="0" applyFont="1" applyFill="1" applyBorder="1"/>
    <xf numFmtId="0" fontId="2" fillId="48" borderId="33" xfId="0" applyFont="1" applyFill="1" applyBorder="1"/>
    <xf numFmtId="0" fontId="0" fillId="48" borderId="33" xfId="0" applyFill="1" applyBorder="1"/>
    <xf numFmtId="0" fontId="0" fillId="37" borderId="36" xfId="0" applyFill="1" applyBorder="1"/>
    <xf numFmtId="0" fontId="0" fillId="37" borderId="34" xfId="0" applyFill="1" applyBorder="1"/>
    <xf numFmtId="0" fontId="0" fillId="37" borderId="37" xfId="0" applyFill="1" applyBorder="1"/>
    <xf numFmtId="0" fontId="0" fillId="37" borderId="25" xfId="0" applyFill="1" applyBorder="1"/>
    <xf numFmtId="0" fontId="0" fillId="3" borderId="0" xfId="0" applyFill="1" applyAlignment="1">
      <alignment wrapText="1"/>
    </xf>
    <xf numFmtId="0" fontId="10" fillId="3" borderId="0" xfId="0" applyFont="1" applyFill="1" applyAlignment="1">
      <alignment wrapText="1"/>
    </xf>
    <xf numFmtId="0" fontId="50" fillId="45" borderId="0" xfId="0" applyFont="1" applyFill="1" applyAlignment="1">
      <alignment horizontal="center"/>
    </xf>
    <xf numFmtId="0" fontId="50" fillId="45" borderId="0" xfId="0" applyFont="1" applyFill="1" applyAlignment="1">
      <alignment horizontal="right"/>
    </xf>
    <xf numFmtId="0" fontId="50" fillId="45" borderId="0" xfId="7" applyFont="1" applyFill="1" applyAlignment="1" applyProtection="1">
      <alignment horizontal="right"/>
    </xf>
    <xf numFmtId="0" fontId="0" fillId="45" borderId="9" xfId="0" applyFill="1" applyBorder="1" applyAlignment="1">
      <alignment horizontal="center" vertical="center"/>
    </xf>
    <xf numFmtId="0" fontId="1" fillId="0" borderId="0" xfId="0" applyFont="1" applyAlignment="1">
      <alignment vertical="top"/>
    </xf>
    <xf numFmtId="0" fontId="46" fillId="44" borderId="10" xfId="0" applyFont="1" applyFill="1" applyBorder="1" applyAlignment="1">
      <alignment horizontal="left"/>
    </xf>
    <xf numFmtId="0" fontId="46" fillId="44" borderId="12" xfId="0" applyFont="1" applyFill="1" applyBorder="1" applyAlignment="1">
      <alignment horizontal="left"/>
    </xf>
    <xf numFmtId="0" fontId="46" fillId="44" borderId="11" xfId="0" applyFont="1" applyFill="1" applyBorder="1" applyAlignment="1">
      <alignment horizontal="left"/>
    </xf>
    <xf numFmtId="0" fontId="3" fillId="0" borderId="0" xfId="0" applyFont="1" applyAlignment="1">
      <alignment vertical="top"/>
    </xf>
    <xf numFmtId="0" fontId="0" fillId="2" borderId="4" xfId="0" applyFill="1" applyBorder="1"/>
    <xf numFmtId="0" fontId="0" fillId="2" borderId="5" xfId="0" applyFill="1" applyBorder="1"/>
    <xf numFmtId="0" fontId="51" fillId="0" borderId="0" xfId="0" applyFont="1"/>
    <xf numFmtId="0" fontId="7" fillId="2" borderId="0" xfId="0" applyFont="1" applyFill="1"/>
    <xf numFmtId="0" fontId="0" fillId="49" borderId="0" xfId="0" applyFill="1"/>
    <xf numFmtId="0" fontId="2" fillId="0" borderId="0" xfId="0" applyFont="1" applyAlignment="1">
      <alignment wrapText="1"/>
    </xf>
    <xf numFmtId="0" fontId="2" fillId="0" borderId="0" xfId="0" applyFont="1" applyAlignment="1">
      <alignment horizontal="left" vertical="center"/>
    </xf>
    <xf numFmtId="0" fontId="2" fillId="4" borderId="0" xfId="0" applyFont="1" applyFill="1" applyAlignment="1">
      <alignment horizontal="left" vertical="center"/>
    </xf>
    <xf numFmtId="0" fontId="2" fillId="36" borderId="0" xfId="0" applyFont="1" applyFill="1" applyAlignment="1">
      <alignment horizontal="left" vertical="center"/>
    </xf>
    <xf numFmtId="165" fontId="0" fillId="0" borderId="0" xfId="0" applyNumberFormat="1"/>
    <xf numFmtId="165" fontId="0" fillId="49" borderId="0" xfId="0" applyNumberFormat="1" applyFill="1"/>
    <xf numFmtId="0" fontId="0" fillId="4" borderId="0" xfId="0" applyFill="1" applyAlignment="1">
      <alignment horizontal="center"/>
    </xf>
    <xf numFmtId="0" fontId="52" fillId="0" borderId="0" xfId="0" applyFont="1" applyAlignment="1">
      <alignment vertical="top"/>
    </xf>
    <xf numFmtId="164" fontId="0" fillId="4" borderId="0" xfId="0" applyNumberFormat="1" applyFill="1" applyAlignment="1">
      <alignment horizontal="center"/>
    </xf>
    <xf numFmtId="0" fontId="44" fillId="3" borderId="0" xfId="0" applyFont="1" applyFill="1"/>
    <xf numFmtId="0" fontId="53" fillId="37" borderId="0" xfId="0" applyFont="1" applyFill="1"/>
    <xf numFmtId="164" fontId="10" fillId="4" borderId="0" xfId="0" applyNumberFormat="1" applyFont="1" applyFill="1" applyAlignment="1">
      <alignment horizontal="center"/>
    </xf>
    <xf numFmtId="164" fontId="10" fillId="0" borderId="0" xfId="0" applyNumberFormat="1" applyFont="1" applyAlignment="1">
      <alignment horizontal="center"/>
    </xf>
    <xf numFmtId="0" fontId="15" fillId="3" borderId="0" xfId="0" applyFont="1" applyFill="1"/>
    <xf numFmtId="0" fontId="10" fillId="3" borderId="0" xfId="0" applyFont="1" applyFill="1" applyAlignment="1">
      <alignment horizontal="right"/>
    </xf>
    <xf numFmtId="0" fontId="2" fillId="3" borderId="0" xfId="0" applyFont="1" applyFill="1" applyAlignment="1">
      <alignment horizontal="right"/>
    </xf>
    <xf numFmtId="164" fontId="0" fillId="48" borderId="0" xfId="0" applyNumberFormat="1" applyFill="1" applyAlignment="1">
      <alignment horizontal="center"/>
    </xf>
    <xf numFmtId="0" fontId="53" fillId="37" borderId="0" xfId="0" applyFont="1" applyFill="1" applyAlignment="1">
      <alignment horizontal="center"/>
    </xf>
    <xf numFmtId="0" fontId="54" fillId="0" borderId="0" xfId="0" applyFont="1"/>
    <xf numFmtId="164" fontId="54" fillId="0" borderId="0" xfId="0" applyNumberFormat="1" applyFont="1"/>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2" borderId="4" xfId="0" applyFill="1" applyBorder="1" applyAlignment="1">
      <alignment horizontal="left" vertical="top" wrapText="1"/>
    </xf>
    <xf numFmtId="0" fontId="0" fillId="2" borderId="0" xfId="0" applyFill="1" applyAlignment="1">
      <alignment horizontal="left" vertical="top" wrapText="1"/>
    </xf>
    <xf numFmtId="0" fontId="0" fillId="2" borderId="5" xfId="0" applyFill="1" applyBorder="1" applyAlignment="1">
      <alignment horizontal="left" vertical="top" wrapText="1"/>
    </xf>
    <xf numFmtId="0" fontId="0" fillId="2" borderId="6" xfId="0" applyFill="1" applyBorder="1" applyAlignment="1">
      <alignment horizontal="left" vertical="top" wrapText="1"/>
    </xf>
    <xf numFmtId="0" fontId="0" fillId="2" borderId="7" xfId="0" applyFill="1" applyBorder="1" applyAlignment="1">
      <alignment horizontal="left" vertical="top" wrapText="1"/>
    </xf>
    <xf numFmtId="0" fontId="0" fillId="2" borderId="8" xfId="0" applyFill="1" applyBorder="1" applyAlignment="1">
      <alignment horizontal="left" vertical="top" wrapText="1"/>
    </xf>
    <xf numFmtId="0" fontId="2" fillId="2" borderId="1" xfId="0" applyFont="1" applyFill="1" applyBorder="1" applyAlignment="1">
      <alignment horizontal="left" vertical="top" wrapText="1"/>
    </xf>
    <xf numFmtId="0" fontId="2" fillId="2" borderId="2" xfId="0" applyFont="1" applyFill="1" applyBorder="1" applyAlignment="1">
      <alignment horizontal="left" vertical="top" wrapText="1"/>
    </xf>
    <xf numFmtId="0" fontId="2" fillId="2" borderId="3" xfId="0" applyFont="1" applyFill="1" applyBorder="1" applyAlignment="1">
      <alignment horizontal="left" vertical="top" wrapText="1"/>
    </xf>
    <xf numFmtId="0" fontId="2" fillId="2" borderId="4" xfId="0" applyFont="1" applyFill="1" applyBorder="1" applyAlignment="1">
      <alignment horizontal="left" vertical="top" wrapText="1"/>
    </xf>
    <xf numFmtId="0" fontId="2" fillId="2" borderId="5" xfId="0" applyFont="1" applyFill="1" applyBorder="1" applyAlignment="1">
      <alignment horizontal="left" vertical="top" wrapText="1"/>
    </xf>
    <xf numFmtId="0" fontId="46" fillId="44" borderId="9" xfId="0" applyFont="1" applyFill="1" applyBorder="1" applyAlignment="1">
      <alignment horizontal="left"/>
    </xf>
    <xf numFmtId="0" fontId="2" fillId="0" borderId="0" xfId="0" applyFont="1" applyAlignment="1">
      <alignment horizontal="center"/>
    </xf>
    <xf numFmtId="0" fontId="0" fillId="37" borderId="0" xfId="0" applyFill="1" applyAlignment="1">
      <alignment horizontal="center"/>
    </xf>
    <xf numFmtId="0" fontId="0" fillId="38" borderId="0" xfId="0" applyFill="1" applyAlignment="1">
      <alignment horizontal="center" wrapText="1"/>
    </xf>
    <xf numFmtId="0" fontId="0" fillId="38" borderId="30" xfId="0" applyFill="1" applyBorder="1" applyAlignment="1">
      <alignment horizontal="center" wrapText="1"/>
    </xf>
    <xf numFmtId="0" fontId="2" fillId="0" borderId="0" xfId="0" applyFont="1" applyAlignment="1">
      <alignment horizontal="left"/>
    </xf>
    <xf numFmtId="0" fontId="0" fillId="45" borderId="35" xfId="0" applyFill="1" applyBorder="1" applyAlignment="1" applyProtection="1">
      <alignment horizontal="left" vertical="top"/>
      <protection locked="0"/>
    </xf>
    <xf numFmtId="0" fontId="0" fillId="45" borderId="36" xfId="0" applyFill="1" applyBorder="1" applyAlignment="1" applyProtection="1">
      <alignment horizontal="left" vertical="top"/>
      <protection locked="0"/>
    </xf>
    <xf numFmtId="0" fontId="0" fillId="45" borderId="34" xfId="0" applyFill="1" applyBorder="1" applyAlignment="1" applyProtection="1">
      <alignment horizontal="left" vertical="top"/>
      <protection locked="0"/>
    </xf>
    <xf numFmtId="0" fontId="0" fillId="45" borderId="37" xfId="0" applyFill="1" applyBorder="1" applyAlignment="1" applyProtection="1">
      <alignment horizontal="left" vertical="top"/>
      <protection locked="0"/>
    </xf>
    <xf numFmtId="0" fontId="0" fillId="45" borderId="25" xfId="0" applyFill="1" applyBorder="1" applyAlignment="1" applyProtection="1">
      <alignment horizontal="left" vertical="top"/>
      <protection locked="0"/>
    </xf>
    <xf numFmtId="0" fontId="0" fillId="45" borderId="32" xfId="0" applyFill="1" applyBorder="1" applyAlignment="1" applyProtection="1">
      <alignment horizontal="left" vertical="top"/>
      <protection locked="0"/>
    </xf>
    <xf numFmtId="0" fontId="0" fillId="45" borderId="35" xfId="0" applyFill="1" applyBorder="1" applyAlignment="1" applyProtection="1">
      <alignment horizontal="center" vertical="top"/>
      <protection locked="0"/>
    </xf>
    <xf numFmtId="0" fontId="0" fillId="45" borderId="36" xfId="0" applyFill="1" applyBorder="1" applyAlignment="1" applyProtection="1">
      <alignment horizontal="center" vertical="top"/>
      <protection locked="0"/>
    </xf>
    <xf numFmtId="0" fontId="0" fillId="45" borderId="34" xfId="0" applyFill="1" applyBorder="1" applyAlignment="1" applyProtection="1">
      <alignment horizontal="center" vertical="top"/>
      <protection locked="0"/>
    </xf>
    <xf numFmtId="0" fontId="0" fillId="45" borderId="37" xfId="0" applyFill="1" applyBorder="1" applyAlignment="1" applyProtection="1">
      <alignment horizontal="center" vertical="top"/>
      <protection locked="0"/>
    </xf>
    <xf numFmtId="0" fontId="0" fillId="45" borderId="25" xfId="0" applyFill="1" applyBorder="1" applyAlignment="1" applyProtection="1">
      <alignment horizontal="center" vertical="top"/>
      <protection locked="0"/>
    </xf>
    <xf numFmtId="0" fontId="0" fillId="45" borderId="32" xfId="0" applyFill="1" applyBorder="1" applyAlignment="1" applyProtection="1">
      <alignment horizontal="center" vertical="top"/>
      <protection locked="0"/>
    </xf>
    <xf numFmtId="0" fontId="53" fillId="37" borderId="0" xfId="0" applyFont="1" applyFill="1" applyAlignment="1">
      <alignment horizontal="center" wrapText="1"/>
    </xf>
    <xf numFmtId="0" fontId="44" fillId="37" borderId="0" xfId="0" applyFont="1" applyFill="1" applyAlignment="1">
      <alignment horizontal="center" wrapText="1"/>
    </xf>
    <xf numFmtId="0" fontId="10" fillId="45" borderId="35" xfId="0" applyFont="1" applyFill="1" applyBorder="1" applyAlignment="1" applyProtection="1">
      <alignment horizontal="left" vertical="top"/>
      <protection locked="0"/>
    </xf>
    <xf numFmtId="0" fontId="10" fillId="45" borderId="33" xfId="0" applyFont="1" applyFill="1" applyBorder="1" applyAlignment="1" applyProtection="1">
      <alignment horizontal="left" vertical="top"/>
      <protection locked="0"/>
    </xf>
    <xf numFmtId="0" fontId="10" fillId="45" borderId="36" xfId="0" applyFont="1" applyFill="1" applyBorder="1" applyAlignment="1" applyProtection="1">
      <alignment horizontal="left" vertical="top"/>
      <protection locked="0"/>
    </xf>
    <xf numFmtId="0" fontId="10" fillId="45" borderId="34" xfId="0" applyFont="1" applyFill="1" applyBorder="1" applyAlignment="1" applyProtection="1">
      <alignment horizontal="left" vertical="top"/>
      <protection locked="0"/>
    </xf>
    <xf numFmtId="0" fontId="10" fillId="45" borderId="0" xfId="0" applyFont="1" applyFill="1" applyAlignment="1" applyProtection="1">
      <alignment horizontal="left" vertical="top"/>
      <protection locked="0"/>
    </xf>
    <xf numFmtId="0" fontId="10" fillId="45" borderId="37" xfId="0" applyFont="1" applyFill="1" applyBorder="1" applyAlignment="1" applyProtection="1">
      <alignment horizontal="left" vertical="top"/>
      <protection locked="0"/>
    </xf>
    <xf numFmtId="0" fontId="10" fillId="45" borderId="25" xfId="0" applyFont="1" applyFill="1" applyBorder="1" applyAlignment="1" applyProtection="1">
      <alignment horizontal="left" vertical="top"/>
      <protection locked="0"/>
    </xf>
    <xf numFmtId="0" fontId="10" fillId="45" borderId="30" xfId="0" applyFont="1" applyFill="1" applyBorder="1" applyAlignment="1" applyProtection="1">
      <alignment horizontal="left" vertical="top"/>
      <protection locked="0"/>
    </xf>
    <xf numFmtId="0" fontId="10" fillId="45" borderId="32" xfId="0" applyFont="1" applyFill="1" applyBorder="1" applyAlignment="1" applyProtection="1">
      <alignment horizontal="left" vertical="top"/>
      <protection locked="0"/>
    </xf>
    <xf numFmtId="0" fontId="44" fillId="37" borderId="0" xfId="0" applyFont="1" applyFill="1" applyAlignment="1">
      <alignment horizontal="left" wrapText="1"/>
    </xf>
    <xf numFmtId="0" fontId="0" fillId="0" borderId="33" xfId="0" applyBorder="1" applyAlignment="1">
      <alignment horizontal="center"/>
    </xf>
    <xf numFmtId="0" fontId="46" fillId="44" borderId="10" xfId="0" applyFont="1" applyFill="1" applyBorder="1" applyAlignment="1">
      <alignment horizontal="left"/>
    </xf>
    <xf numFmtId="0" fontId="46" fillId="44" borderId="11" xfId="0" applyFont="1" applyFill="1" applyBorder="1" applyAlignment="1">
      <alignment horizontal="left"/>
    </xf>
    <xf numFmtId="0" fontId="46" fillId="44" borderId="12" xfId="0" applyFont="1" applyFill="1" applyBorder="1" applyAlignment="1">
      <alignment horizontal="left"/>
    </xf>
    <xf numFmtId="0" fontId="36" fillId="0" borderId="0" xfId="0" applyFont="1" applyAlignment="1">
      <alignment horizontal="left"/>
    </xf>
    <xf numFmtId="0" fontId="0" fillId="46" borderId="9" xfId="0" applyFill="1" applyBorder="1" applyAlignment="1">
      <alignment horizontal="center"/>
    </xf>
    <xf numFmtId="0" fontId="0" fillId="0" borderId="9" xfId="0" applyBorder="1" applyAlignment="1">
      <alignment horizontal="left"/>
    </xf>
    <xf numFmtId="0" fontId="0" fillId="0" borderId="9" xfId="0" applyBorder="1" applyAlignment="1">
      <alignment horizontal="left" vertical="center"/>
    </xf>
    <xf numFmtId="0" fontId="0" fillId="0" borderId="10" xfId="0" applyBorder="1" applyAlignment="1">
      <alignment horizontal="left" vertical="center"/>
    </xf>
    <xf numFmtId="0" fontId="0" fillId="0" borderId="11" xfId="0" applyBorder="1" applyAlignment="1">
      <alignment horizontal="left" vertical="center"/>
    </xf>
    <xf numFmtId="0" fontId="0" fillId="46" borderId="9" xfId="0" applyFill="1" applyBorder="1" applyAlignment="1">
      <alignment horizontal="center" vertical="center"/>
    </xf>
    <xf numFmtId="0" fontId="0" fillId="46" borderId="10" xfId="0" applyFill="1" applyBorder="1" applyAlignment="1">
      <alignment horizontal="center" vertical="center"/>
    </xf>
    <xf numFmtId="0" fontId="0" fillId="46" borderId="12" xfId="0" applyFill="1" applyBorder="1" applyAlignment="1">
      <alignment horizontal="center" vertical="center"/>
    </xf>
    <xf numFmtId="0" fontId="0" fillId="46" borderId="11" xfId="0" applyFill="1" applyBorder="1" applyAlignment="1">
      <alignment horizontal="center" vertical="center"/>
    </xf>
    <xf numFmtId="0" fontId="2" fillId="0" borderId="9" xfId="0" applyFont="1" applyBorder="1" applyAlignment="1">
      <alignment horizontal="left" vertical="center"/>
    </xf>
    <xf numFmtId="0" fontId="32" fillId="0" borderId="9" xfId="0" applyFont="1" applyBorder="1" applyAlignment="1">
      <alignment horizontal="left" vertical="center"/>
    </xf>
    <xf numFmtId="0" fontId="0" fillId="45" borderId="9" xfId="0" applyFill="1" applyBorder="1" applyAlignment="1" applyProtection="1">
      <alignment horizontal="center"/>
      <protection locked="0"/>
    </xf>
    <xf numFmtId="0" fontId="0" fillId="0" borderId="10" xfId="0" applyBorder="1" applyAlignment="1">
      <alignment horizontal="left"/>
    </xf>
    <xf numFmtId="0" fontId="0" fillId="0" borderId="11" xfId="0" applyBorder="1" applyAlignment="1">
      <alignment horizontal="left"/>
    </xf>
    <xf numFmtId="0" fontId="55" fillId="0" borderId="0" xfId="0" applyFont="1"/>
    <xf numFmtId="1" fontId="1" fillId="0" borderId="0" xfId="0" applyNumberFormat="1" applyFont="1" applyAlignment="1">
      <alignment horizontal="center" vertical="center"/>
    </xf>
    <xf numFmtId="0" fontId="2" fillId="45" borderId="9" xfId="0" applyFont="1" applyFill="1" applyBorder="1"/>
    <xf numFmtId="0" fontId="0" fillId="2" borderId="0" xfId="0" applyFill="1" applyAlignment="1">
      <alignment horizontal="left" vertical="center"/>
    </xf>
    <xf numFmtId="0" fontId="2" fillId="2" borderId="7" xfId="0" applyFont="1" applyFill="1" applyBorder="1" applyAlignment="1">
      <alignment horizontal="center" vertical="top" wrapText="1"/>
    </xf>
    <xf numFmtId="0" fontId="2" fillId="2" borderId="0" xfId="0" applyFont="1" applyFill="1" applyBorder="1" applyAlignment="1">
      <alignment horizontal="left" vertical="top" wrapText="1"/>
    </xf>
    <xf numFmtId="0" fontId="0" fillId="2" borderId="0" xfId="0" applyFill="1" applyBorder="1" applyAlignment="1">
      <alignment horizontal="left" vertical="top" wrapText="1"/>
    </xf>
    <xf numFmtId="0" fontId="0" fillId="2" borderId="0" xfId="0" applyFill="1" applyBorder="1"/>
    <xf numFmtId="0" fontId="0" fillId="2" borderId="38" xfId="0" applyFill="1" applyBorder="1" applyAlignment="1">
      <alignment horizontal="left" vertical="top" wrapText="1"/>
    </xf>
    <xf numFmtId="0" fontId="0" fillId="2" borderId="30" xfId="0" applyFill="1" applyBorder="1" applyAlignment="1">
      <alignment horizontal="left" vertical="top" wrapText="1"/>
    </xf>
    <xf numFmtId="0" fontId="0" fillId="2" borderId="39" xfId="0" applyFill="1" applyBorder="1" applyAlignment="1">
      <alignment horizontal="left" vertical="top" wrapText="1"/>
    </xf>
    <xf numFmtId="14" fontId="0" fillId="2" borderId="0" xfId="0" applyNumberFormat="1" applyFill="1" applyBorder="1" applyAlignment="1">
      <alignment horizontal="left" vertical="top" wrapText="1"/>
    </xf>
    <xf numFmtId="14" fontId="0" fillId="2" borderId="5" xfId="0" applyNumberFormat="1" applyFill="1" applyBorder="1" applyAlignment="1">
      <alignment horizontal="left" vertical="top" wrapText="1"/>
    </xf>
    <xf numFmtId="0" fontId="0" fillId="46" borderId="9" xfId="0" applyFill="1" applyBorder="1" applyAlignment="1" applyProtection="1">
      <alignment horizontal="center"/>
    </xf>
    <xf numFmtId="49" fontId="0" fillId="45" borderId="35" xfId="0" applyNumberFormat="1" applyFill="1" applyBorder="1" applyAlignment="1" applyProtection="1">
      <alignment horizontal="left" vertical="top"/>
      <protection locked="0"/>
    </xf>
    <xf numFmtId="49" fontId="0" fillId="45" borderId="36" xfId="0" applyNumberFormat="1" applyFill="1" applyBorder="1" applyAlignment="1" applyProtection="1">
      <alignment horizontal="left" vertical="top"/>
      <protection locked="0"/>
    </xf>
    <xf numFmtId="49" fontId="0" fillId="45" borderId="34" xfId="0" applyNumberFormat="1" applyFill="1" applyBorder="1" applyAlignment="1" applyProtection="1">
      <alignment horizontal="left" vertical="top"/>
      <protection locked="0"/>
    </xf>
    <xf numFmtId="49" fontId="0" fillId="45" borderId="37" xfId="0" applyNumberFormat="1" applyFill="1" applyBorder="1" applyAlignment="1" applyProtection="1">
      <alignment horizontal="left" vertical="top"/>
      <protection locked="0"/>
    </xf>
    <xf numFmtId="49" fontId="0" fillId="45" borderId="25" xfId="0" applyNumberFormat="1" applyFill="1" applyBorder="1" applyAlignment="1" applyProtection="1">
      <alignment horizontal="left" vertical="top"/>
      <protection locked="0"/>
    </xf>
    <xf numFmtId="49" fontId="0" fillId="45" borderId="32" xfId="0" applyNumberFormat="1" applyFill="1" applyBorder="1" applyAlignment="1" applyProtection="1">
      <alignment horizontal="left" vertical="top"/>
      <protection locked="0"/>
    </xf>
  </cellXfs>
  <cellStyles count="44">
    <cellStyle name="20 % - Dekorfärg1" xfId="19" builtinId="30" customBuiltin="1"/>
    <cellStyle name="20 % - Dekorfärg2" xfId="23" builtinId="34" customBuiltin="1"/>
    <cellStyle name="20 % - Dekorfärg3" xfId="27" builtinId="38" customBuiltin="1"/>
    <cellStyle name="20 % - Dekorfärg4" xfId="31" builtinId="42" customBuiltin="1"/>
    <cellStyle name="20 % - Dekorfärg5" xfId="35" builtinId="46" customBuiltin="1"/>
    <cellStyle name="20 % - Dekorfärg6" xfId="39" builtinId="50" customBuiltin="1"/>
    <cellStyle name="40 % - Dekorfärg1" xfId="20" builtinId="31" customBuiltin="1"/>
    <cellStyle name="40 % - Dekorfärg2" xfId="24" builtinId="35" customBuiltin="1"/>
    <cellStyle name="40 % - Dekorfärg3" xfId="28" builtinId="39" customBuiltin="1"/>
    <cellStyle name="40 % - Dekorfärg4" xfId="32" builtinId="43" customBuiltin="1"/>
    <cellStyle name="40 % - Dekorfärg5" xfId="36" builtinId="47" customBuiltin="1"/>
    <cellStyle name="40 % - Dekorfärg6" xfId="40" builtinId="51" customBuiltin="1"/>
    <cellStyle name="60 % - Dekorfärg1" xfId="21" builtinId="32" customBuiltin="1"/>
    <cellStyle name="60 % - Dekorfärg2" xfId="25" builtinId="36" customBuiltin="1"/>
    <cellStyle name="60 % - Dekorfärg3" xfId="29" builtinId="40" customBuiltin="1"/>
    <cellStyle name="60 % - Dekorfärg4" xfId="33" builtinId="44" customBuiltin="1"/>
    <cellStyle name="60 % - Dekorfärg5" xfId="37" builtinId="48" customBuiltin="1"/>
    <cellStyle name="60 % - Dekorfärg6" xfId="41" builtinId="52" customBuiltin="1"/>
    <cellStyle name="Anteckning" xfId="15" builtinId="10" customBuiltin="1"/>
    <cellStyle name="Beräkning" xfId="11" builtinId="22" customBuiltin="1"/>
    <cellStyle name="Bra" xfId="6" builtinId="26" customBuiltin="1"/>
    <cellStyle name="Dekorfärg1" xfId="18" builtinId="29" customBuiltin="1"/>
    <cellStyle name="Dekorfärg2" xfId="22" builtinId="33" customBuiltin="1"/>
    <cellStyle name="Dekorfärg3" xfId="26" builtinId="37" customBuiltin="1"/>
    <cellStyle name="Dekorfärg4" xfId="30" builtinId="41" customBuiltin="1"/>
    <cellStyle name="Dekorfärg5" xfId="34" builtinId="45" customBuiltin="1"/>
    <cellStyle name="Dekorfärg6" xfId="38" builtinId="49" customBuiltin="1"/>
    <cellStyle name="Dålig" xfId="7" builtinId="27" customBuiltin="1"/>
    <cellStyle name="Förklarande text" xfId="16" builtinId="53" customBuiltin="1"/>
    <cellStyle name="Hyperlänk" xfId="42" builtinId="8"/>
    <cellStyle name="Indata" xfId="9" builtinId="20" customBuiltin="1"/>
    <cellStyle name="Kontrollcell" xfId="13" builtinId="23" customBuiltin="1"/>
    <cellStyle name="Länkad cell" xfId="12" builtinId="24" customBuiltin="1"/>
    <cellStyle name="Neutral" xfId="8" builtinId="28" customBuiltin="1"/>
    <cellStyle name="Normal" xfId="0" builtinId="0"/>
    <cellStyle name="Procent" xfId="43" builtinId="5"/>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Utdata" xfId="10" builtinId="21" customBuiltin="1"/>
    <cellStyle name="Varningstext" xfId="14" builtinId="11" customBuiltin="1"/>
  </cellStyles>
  <dxfs count="193">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val="0"/>
        <i val="0"/>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rgb="FFEEF1F9"/>
      </font>
      <fill>
        <patternFill>
          <bgColor rgb="FFEEF1F9"/>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rgb="FFEEF1F9"/>
      </font>
      <fill>
        <patternFill>
          <bgColor rgb="FFEEF1F9"/>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ill>
        <patternFill>
          <bgColor theme="0" tint="-0.24994659260841701"/>
        </patternFill>
      </fill>
    </dxf>
    <dxf>
      <font>
        <color theme="0" tint="-0.24994659260841701"/>
      </font>
      <fill>
        <patternFill>
          <fgColor theme="0" tint="-0.24994659260841701"/>
          <bgColor theme="0" tint="-0.24994659260841701"/>
        </patternFill>
      </fill>
    </dxf>
    <dxf>
      <fill>
        <patternFill>
          <bgColor theme="6"/>
        </patternFill>
      </fill>
    </dxf>
    <dxf>
      <font>
        <color theme="0" tint="-0.24994659260841701"/>
      </font>
      <fill>
        <patternFill>
          <bgColor theme="0" tint="-0.24994659260841701"/>
        </patternFill>
      </fill>
    </dxf>
    <dxf>
      <fill>
        <patternFill>
          <bgColor theme="6"/>
        </patternFill>
      </fill>
    </dxf>
    <dxf>
      <font>
        <color theme="0" tint="-0.24994659260841701"/>
      </font>
      <fill>
        <patternFill>
          <bgColor theme="0" tint="-0.24994659260841701"/>
        </patternFill>
      </fill>
    </dxf>
    <dxf>
      <fill>
        <patternFill>
          <bgColor theme="6"/>
        </patternFill>
      </fill>
    </dxf>
    <dxf>
      <font>
        <color theme="0" tint="-0.24994659260841701"/>
      </font>
      <fill>
        <patternFill>
          <bgColor theme="0" tint="-0.24994659260841701"/>
        </patternFill>
      </fill>
    </dxf>
    <dxf>
      <fill>
        <patternFill>
          <bgColor theme="6"/>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6"/>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s>
  <tableStyles count="0" defaultTableStyle="TableStyleMedium2" defaultPivotStyle="PivotStyleLight16"/>
  <colors>
    <mruColors>
      <color rgb="FF266B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Byggnadens totala energianvändning (BBR</a:t>
            </a:r>
            <a:r>
              <a:rPr lang="sv-SE" baseline="0"/>
              <a:t> energi) i drift</a:t>
            </a:r>
            <a:endParaRPr lang="sv-S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manualLayout>
          <c:layoutTarget val="inner"/>
          <c:xMode val="edge"/>
          <c:yMode val="edge"/>
          <c:x val="0.11508597187021009"/>
          <c:y val="0.14177698981541814"/>
          <c:w val="0.85017541304446775"/>
          <c:h val="0.67038188189179027"/>
        </c:manualLayout>
      </c:layout>
      <c:barChart>
        <c:barDir val="col"/>
        <c:grouping val="stacked"/>
        <c:varyColors val="0"/>
        <c:ser>
          <c:idx val="0"/>
          <c:order val="0"/>
          <c:tx>
            <c:v>Uppvärmning</c:v>
          </c:tx>
          <c:spPr>
            <a:solidFill>
              <a:schemeClr val="accent1"/>
            </a:solidFill>
            <a:ln>
              <a:noFill/>
            </a:ln>
            <a:effectLst/>
          </c:spPr>
          <c:invertIfNegative val="0"/>
          <c:cat>
            <c:strRef>
              <c:f>Resultat!$C$34:$D$34</c:f>
              <c:strCache>
                <c:ptCount val="2"/>
                <c:pt idx="0">
                  <c:v>Uppmätt energianvändning </c:v>
                </c:pt>
                <c:pt idx="1">
                  <c:v>Normaliserad energianvändning </c:v>
                </c:pt>
              </c:strCache>
            </c:strRef>
          </c:cat>
          <c:val>
            <c:numRef>
              <c:f>Resultat!$C$38:$D$38</c:f>
              <c:numCache>
                <c:formatCode>0.0</c:formatCode>
                <c:ptCount val="2"/>
                <c:pt idx="0">
                  <c:v>0</c:v>
                </c:pt>
                <c:pt idx="1">
                  <c:v>0</c:v>
                </c:pt>
              </c:numCache>
            </c:numRef>
          </c:val>
          <c:extLst>
            <c:ext xmlns:c16="http://schemas.microsoft.com/office/drawing/2014/chart" uri="{C3380CC4-5D6E-409C-BE32-E72D297353CC}">
              <c16:uniqueId val="{00000000-D643-4087-AC10-5D05C6817365}"/>
            </c:ext>
          </c:extLst>
        </c:ser>
        <c:ser>
          <c:idx val="1"/>
          <c:order val="1"/>
          <c:tx>
            <c:v>Tappvarmvatten</c:v>
          </c:tx>
          <c:spPr>
            <a:solidFill>
              <a:schemeClr val="accent3"/>
            </a:solidFill>
            <a:ln>
              <a:noFill/>
            </a:ln>
            <a:effectLst/>
          </c:spPr>
          <c:invertIfNegative val="0"/>
          <c:cat>
            <c:strRef>
              <c:f>Resultat!$C$34:$D$34</c:f>
              <c:strCache>
                <c:ptCount val="2"/>
                <c:pt idx="0">
                  <c:v>Uppmätt energianvändning </c:v>
                </c:pt>
                <c:pt idx="1">
                  <c:v>Normaliserad energianvändning </c:v>
                </c:pt>
              </c:strCache>
            </c:strRef>
          </c:cat>
          <c:val>
            <c:numRef>
              <c:f>Resultat!$C$39:$D$39</c:f>
              <c:numCache>
                <c:formatCode>0.0</c:formatCode>
                <c:ptCount val="2"/>
                <c:pt idx="0">
                  <c:v>0</c:v>
                </c:pt>
                <c:pt idx="1">
                  <c:v>0</c:v>
                </c:pt>
              </c:numCache>
            </c:numRef>
          </c:val>
          <c:extLst>
            <c:ext xmlns:c16="http://schemas.microsoft.com/office/drawing/2014/chart" uri="{C3380CC4-5D6E-409C-BE32-E72D297353CC}">
              <c16:uniqueId val="{00000001-D643-4087-AC10-5D05C6817365}"/>
            </c:ext>
          </c:extLst>
        </c:ser>
        <c:ser>
          <c:idx val="2"/>
          <c:order val="2"/>
          <c:tx>
            <c:v>Komfortkyla</c:v>
          </c:tx>
          <c:spPr>
            <a:solidFill>
              <a:schemeClr val="accent5"/>
            </a:solidFill>
            <a:ln>
              <a:noFill/>
            </a:ln>
            <a:effectLst/>
          </c:spPr>
          <c:invertIfNegative val="0"/>
          <c:cat>
            <c:strRef>
              <c:f>Resultat!$C$34:$D$34</c:f>
              <c:strCache>
                <c:ptCount val="2"/>
                <c:pt idx="0">
                  <c:v>Uppmätt energianvändning </c:v>
                </c:pt>
                <c:pt idx="1">
                  <c:v>Normaliserad energianvändning </c:v>
                </c:pt>
              </c:strCache>
            </c:strRef>
          </c:cat>
          <c:val>
            <c:numRef>
              <c:f>Resultat!$C$40:$D$40</c:f>
              <c:numCache>
                <c:formatCode>0.0</c:formatCode>
                <c:ptCount val="2"/>
                <c:pt idx="0">
                  <c:v>0</c:v>
                </c:pt>
                <c:pt idx="1">
                  <c:v>0</c:v>
                </c:pt>
              </c:numCache>
            </c:numRef>
          </c:val>
          <c:extLst>
            <c:ext xmlns:c16="http://schemas.microsoft.com/office/drawing/2014/chart" uri="{C3380CC4-5D6E-409C-BE32-E72D297353CC}">
              <c16:uniqueId val="{00000002-D643-4087-AC10-5D05C6817365}"/>
            </c:ext>
          </c:extLst>
        </c:ser>
        <c:ser>
          <c:idx val="3"/>
          <c:order val="3"/>
          <c:tx>
            <c:v>Fastighetsenergi</c:v>
          </c:tx>
          <c:spPr>
            <a:solidFill>
              <a:schemeClr val="accent1">
                <a:lumMod val="60000"/>
              </a:schemeClr>
            </a:solidFill>
            <a:ln>
              <a:noFill/>
            </a:ln>
            <a:effectLst/>
          </c:spPr>
          <c:invertIfNegative val="0"/>
          <c:cat>
            <c:strRef>
              <c:f>Resultat!$C$34:$D$34</c:f>
              <c:strCache>
                <c:ptCount val="2"/>
                <c:pt idx="0">
                  <c:v>Uppmätt energianvändning </c:v>
                </c:pt>
                <c:pt idx="1">
                  <c:v>Normaliserad energianvändning </c:v>
                </c:pt>
              </c:strCache>
            </c:strRef>
          </c:cat>
          <c:val>
            <c:numRef>
              <c:f>Resultat!$C$41:$D$41</c:f>
              <c:numCache>
                <c:formatCode>0.0</c:formatCode>
                <c:ptCount val="2"/>
                <c:pt idx="0">
                  <c:v>0</c:v>
                </c:pt>
                <c:pt idx="1">
                  <c:v>0</c:v>
                </c:pt>
              </c:numCache>
            </c:numRef>
          </c:val>
          <c:extLst>
            <c:ext xmlns:c16="http://schemas.microsoft.com/office/drawing/2014/chart" uri="{C3380CC4-5D6E-409C-BE32-E72D297353CC}">
              <c16:uniqueId val="{00000003-D643-4087-AC10-5D05C6817365}"/>
            </c:ext>
          </c:extLst>
        </c:ser>
        <c:dLbls>
          <c:showLegendKey val="0"/>
          <c:showVal val="0"/>
          <c:showCatName val="0"/>
          <c:showSerName val="0"/>
          <c:showPercent val="0"/>
          <c:showBubbleSize val="0"/>
        </c:dLbls>
        <c:gapWidth val="150"/>
        <c:overlap val="100"/>
        <c:axId val="481704824"/>
        <c:axId val="481705152"/>
      </c:barChart>
      <c:catAx>
        <c:axId val="481704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481705152"/>
        <c:crosses val="autoZero"/>
        <c:auto val="1"/>
        <c:lblAlgn val="ctr"/>
        <c:lblOffset val="100"/>
        <c:noMultiLvlLbl val="0"/>
      </c:catAx>
      <c:valAx>
        <c:axId val="4817051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sv-SE" sz="1050"/>
                  <a:t>kWh/m</a:t>
                </a:r>
                <a:r>
                  <a:rPr lang="sv-SE" sz="1050" baseline="30000"/>
                  <a:t>2</a:t>
                </a:r>
                <a:r>
                  <a:rPr lang="sv-SE" sz="1050"/>
                  <a:t> A</a:t>
                </a:r>
                <a:r>
                  <a:rPr lang="sv-SE" sz="1050" baseline="-25000"/>
                  <a:t>temp </a:t>
                </a:r>
                <a:r>
                  <a:rPr lang="sv-SE" sz="1050"/>
                  <a:t>och år</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crossAx val="481704824"/>
        <c:crosses val="autoZero"/>
        <c:crossBetween val="between"/>
      </c:valAx>
      <c:spPr>
        <a:noFill/>
        <a:ln>
          <a:noFill/>
        </a:ln>
        <a:effectLst/>
      </c:spPr>
    </c:plotArea>
    <c:legend>
      <c:legendPos val="b"/>
      <c:layout>
        <c:manualLayout>
          <c:xMode val="edge"/>
          <c:yMode val="edge"/>
          <c:x val="7.5136469041243339E-2"/>
          <c:y val="0.90673476882390147"/>
          <c:w val="0.86300578034682085"/>
          <c:h val="8.581418090274925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0" i="0" baseline="0">
                <a:effectLst/>
              </a:rPr>
              <a:t>Byggnadens uppmätt energianvändning (BBR energi) i drift</a:t>
            </a:r>
            <a:endParaRPr lang="sv-SE" sz="1400">
              <a:effectLst/>
            </a:endParaRPr>
          </a:p>
        </c:rich>
      </c:tx>
      <c:layout>
        <c:manualLayout>
          <c:xMode val="edge"/>
          <c:yMode val="edge"/>
          <c:x val="0.14468751885861683"/>
          <c:y val="2.534655651807313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manualLayout>
          <c:layoutTarget val="inner"/>
          <c:xMode val="edge"/>
          <c:yMode val="edge"/>
          <c:x val="0.11103848607650817"/>
          <c:y val="0.15935075233630788"/>
          <c:w val="0.83816237289078566"/>
          <c:h val="0.64308442829467083"/>
        </c:manualLayout>
      </c:layout>
      <c:barChart>
        <c:barDir val="col"/>
        <c:grouping val="stacked"/>
        <c:varyColors val="0"/>
        <c:ser>
          <c:idx val="0"/>
          <c:order val="0"/>
          <c:tx>
            <c:strRef>
              <c:f>Resultat!$J$35</c:f>
              <c:strCache>
                <c:ptCount val="1"/>
                <c:pt idx="0">
                  <c:v>Uppvärmning</c:v>
                </c:pt>
              </c:strCache>
            </c:strRef>
          </c:tx>
          <c:spPr>
            <a:solidFill>
              <a:schemeClr val="accent1"/>
            </a:solidFill>
            <a:ln>
              <a:noFill/>
            </a:ln>
            <a:effectLst/>
          </c:spPr>
          <c:invertIfNegative val="0"/>
          <c:cat>
            <c:strRef>
              <c:f>Resultat!$I$36:$I$47</c:f>
              <c:strCache>
                <c:ptCount val="12"/>
                <c:pt idx="0">
                  <c:v>jan</c:v>
                </c:pt>
                <c:pt idx="1">
                  <c:v>feb</c:v>
                </c:pt>
                <c:pt idx="2">
                  <c:v>mars</c:v>
                </c:pt>
                <c:pt idx="3">
                  <c:v>apr</c:v>
                </c:pt>
                <c:pt idx="4">
                  <c:v>maj</c:v>
                </c:pt>
                <c:pt idx="5">
                  <c:v>jun </c:v>
                </c:pt>
                <c:pt idx="6">
                  <c:v>jul</c:v>
                </c:pt>
                <c:pt idx="7">
                  <c:v>aug</c:v>
                </c:pt>
                <c:pt idx="8">
                  <c:v>sept</c:v>
                </c:pt>
                <c:pt idx="9">
                  <c:v>okt</c:v>
                </c:pt>
                <c:pt idx="10">
                  <c:v>nov</c:v>
                </c:pt>
                <c:pt idx="11">
                  <c:v>dec</c:v>
                </c:pt>
              </c:strCache>
            </c:strRef>
          </c:cat>
          <c:val>
            <c:numRef>
              <c:f>Resultat!$J$36:$J$47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2EF-459D-A2E5-9CD232EA7D15}"/>
            </c:ext>
          </c:extLst>
        </c:ser>
        <c:ser>
          <c:idx val="1"/>
          <c:order val="1"/>
          <c:tx>
            <c:strRef>
              <c:f>Resultat!$K$35</c:f>
              <c:strCache>
                <c:ptCount val="1"/>
                <c:pt idx="0">
                  <c:v>Tappvarmvatten</c:v>
                </c:pt>
              </c:strCache>
            </c:strRef>
          </c:tx>
          <c:spPr>
            <a:solidFill>
              <a:schemeClr val="accent3"/>
            </a:solidFill>
            <a:ln>
              <a:noFill/>
            </a:ln>
            <a:effectLst/>
          </c:spPr>
          <c:invertIfNegative val="0"/>
          <c:cat>
            <c:strRef>
              <c:f>Resultat!$I$36:$I$47</c:f>
              <c:strCache>
                <c:ptCount val="12"/>
                <c:pt idx="0">
                  <c:v>jan</c:v>
                </c:pt>
                <c:pt idx="1">
                  <c:v>feb</c:v>
                </c:pt>
                <c:pt idx="2">
                  <c:v>mars</c:v>
                </c:pt>
                <c:pt idx="3">
                  <c:v>apr</c:v>
                </c:pt>
                <c:pt idx="4">
                  <c:v>maj</c:v>
                </c:pt>
                <c:pt idx="5">
                  <c:v>jun </c:v>
                </c:pt>
                <c:pt idx="6">
                  <c:v>jul</c:v>
                </c:pt>
                <c:pt idx="7">
                  <c:v>aug</c:v>
                </c:pt>
                <c:pt idx="8">
                  <c:v>sept</c:v>
                </c:pt>
                <c:pt idx="9">
                  <c:v>okt</c:v>
                </c:pt>
                <c:pt idx="10">
                  <c:v>nov</c:v>
                </c:pt>
                <c:pt idx="11">
                  <c:v>dec</c:v>
                </c:pt>
              </c:strCache>
            </c:strRef>
          </c:cat>
          <c:val>
            <c:numRef>
              <c:f>Resultat!$K$36:$K$47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2EF-459D-A2E5-9CD232EA7D15}"/>
            </c:ext>
          </c:extLst>
        </c:ser>
        <c:ser>
          <c:idx val="2"/>
          <c:order val="2"/>
          <c:tx>
            <c:strRef>
              <c:f>Resultat!$L$35</c:f>
              <c:strCache>
                <c:ptCount val="1"/>
                <c:pt idx="0">
                  <c:v>Komfortkyla</c:v>
                </c:pt>
              </c:strCache>
            </c:strRef>
          </c:tx>
          <c:spPr>
            <a:solidFill>
              <a:schemeClr val="accent5"/>
            </a:solidFill>
            <a:ln>
              <a:noFill/>
            </a:ln>
            <a:effectLst/>
          </c:spPr>
          <c:invertIfNegative val="0"/>
          <c:cat>
            <c:strRef>
              <c:f>Resultat!$I$36:$I$47</c:f>
              <c:strCache>
                <c:ptCount val="12"/>
                <c:pt idx="0">
                  <c:v>jan</c:v>
                </c:pt>
                <c:pt idx="1">
                  <c:v>feb</c:v>
                </c:pt>
                <c:pt idx="2">
                  <c:v>mars</c:v>
                </c:pt>
                <c:pt idx="3">
                  <c:v>apr</c:v>
                </c:pt>
                <c:pt idx="4">
                  <c:v>maj</c:v>
                </c:pt>
                <c:pt idx="5">
                  <c:v>jun </c:v>
                </c:pt>
                <c:pt idx="6">
                  <c:v>jul</c:v>
                </c:pt>
                <c:pt idx="7">
                  <c:v>aug</c:v>
                </c:pt>
                <c:pt idx="8">
                  <c:v>sept</c:v>
                </c:pt>
                <c:pt idx="9">
                  <c:v>okt</c:v>
                </c:pt>
                <c:pt idx="10">
                  <c:v>nov</c:v>
                </c:pt>
                <c:pt idx="11">
                  <c:v>dec</c:v>
                </c:pt>
              </c:strCache>
            </c:strRef>
          </c:cat>
          <c:val>
            <c:numRef>
              <c:f>Resultat!$L$36:$L$47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72EF-459D-A2E5-9CD232EA7D15}"/>
            </c:ext>
          </c:extLst>
        </c:ser>
        <c:ser>
          <c:idx val="3"/>
          <c:order val="3"/>
          <c:tx>
            <c:strRef>
              <c:f>Resultat!$M$35</c:f>
              <c:strCache>
                <c:ptCount val="1"/>
                <c:pt idx="0">
                  <c:v>Fastighetsenergi</c:v>
                </c:pt>
              </c:strCache>
            </c:strRef>
          </c:tx>
          <c:spPr>
            <a:solidFill>
              <a:schemeClr val="accent1">
                <a:lumMod val="60000"/>
              </a:schemeClr>
            </a:solidFill>
            <a:ln>
              <a:noFill/>
            </a:ln>
            <a:effectLst/>
          </c:spPr>
          <c:invertIfNegative val="0"/>
          <c:cat>
            <c:strRef>
              <c:f>Resultat!$I$36:$I$47</c:f>
              <c:strCache>
                <c:ptCount val="12"/>
                <c:pt idx="0">
                  <c:v>jan</c:v>
                </c:pt>
                <c:pt idx="1">
                  <c:v>feb</c:v>
                </c:pt>
                <c:pt idx="2">
                  <c:v>mars</c:v>
                </c:pt>
                <c:pt idx="3">
                  <c:v>apr</c:v>
                </c:pt>
                <c:pt idx="4">
                  <c:v>maj</c:v>
                </c:pt>
                <c:pt idx="5">
                  <c:v>jun </c:v>
                </c:pt>
                <c:pt idx="6">
                  <c:v>jul</c:v>
                </c:pt>
                <c:pt idx="7">
                  <c:v>aug</c:v>
                </c:pt>
                <c:pt idx="8">
                  <c:v>sept</c:v>
                </c:pt>
                <c:pt idx="9">
                  <c:v>okt</c:v>
                </c:pt>
                <c:pt idx="10">
                  <c:v>nov</c:v>
                </c:pt>
                <c:pt idx="11">
                  <c:v>dec</c:v>
                </c:pt>
              </c:strCache>
            </c:strRef>
          </c:cat>
          <c:val>
            <c:numRef>
              <c:f>Resultat!$M$36:$M$47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72EF-459D-A2E5-9CD232EA7D15}"/>
            </c:ext>
          </c:extLst>
        </c:ser>
        <c:dLbls>
          <c:showLegendKey val="0"/>
          <c:showVal val="0"/>
          <c:showCatName val="0"/>
          <c:showSerName val="0"/>
          <c:showPercent val="0"/>
          <c:showBubbleSize val="0"/>
        </c:dLbls>
        <c:gapWidth val="150"/>
        <c:overlap val="100"/>
        <c:axId val="659339528"/>
        <c:axId val="659339856"/>
      </c:barChart>
      <c:catAx>
        <c:axId val="659339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659339856"/>
        <c:crosses val="autoZero"/>
        <c:auto val="1"/>
        <c:lblAlgn val="ctr"/>
        <c:lblOffset val="100"/>
        <c:noMultiLvlLbl val="0"/>
      </c:catAx>
      <c:valAx>
        <c:axId val="659339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sv-SE" sz="1100"/>
                  <a:t>kWh/m</a:t>
                </a:r>
                <a:r>
                  <a:rPr lang="sv-SE" sz="1100" baseline="30000"/>
                  <a:t>2 </a:t>
                </a:r>
                <a:r>
                  <a:rPr lang="sv-SE" sz="1100" baseline="0"/>
                  <a:t>A</a:t>
                </a:r>
                <a:r>
                  <a:rPr lang="sv-SE" sz="1100" baseline="-25000"/>
                  <a:t>temp </a:t>
                </a:r>
                <a:endParaRPr lang="sv-SE" sz="1100"/>
              </a:p>
            </c:rich>
          </c:tx>
          <c:layout>
            <c:manualLayout>
              <c:xMode val="edge"/>
              <c:yMode val="edge"/>
              <c:x val="2.0368019231674809E-2"/>
              <c:y val="0.3490361998066042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crossAx val="659339528"/>
        <c:crosses val="autoZero"/>
        <c:crossBetween val="between"/>
      </c:valAx>
      <c:spPr>
        <a:noFill/>
        <a:ln>
          <a:noFill/>
        </a:ln>
        <a:effectLst/>
      </c:spPr>
    </c:plotArea>
    <c:legend>
      <c:legendPos val="b"/>
      <c:layout>
        <c:manualLayout>
          <c:xMode val="edge"/>
          <c:yMode val="edge"/>
          <c:x val="0.13570879619671886"/>
          <c:y val="0.89341383683152154"/>
          <c:w val="0.78399965236951452"/>
          <c:h val="7.684068939903436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Byggnadens totala energianvändning (BBR</a:t>
            </a:r>
            <a:r>
              <a:rPr lang="sv-SE" baseline="0"/>
              <a:t> energi)  </a:t>
            </a:r>
            <a:br>
              <a:rPr lang="sv-SE" baseline="0"/>
            </a:br>
            <a:r>
              <a:rPr lang="sv-SE" baseline="0"/>
              <a:t>under referensåret och i drift</a:t>
            </a:r>
            <a:endParaRPr lang="sv-SE" i="1"/>
          </a:p>
        </c:rich>
      </c:tx>
      <c:layout>
        <c:manualLayout>
          <c:xMode val="edge"/>
          <c:yMode val="edge"/>
          <c:x val="0.1539182561346186"/>
          <c:y val="2.565928709610615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manualLayout>
          <c:layoutTarget val="inner"/>
          <c:xMode val="edge"/>
          <c:yMode val="edge"/>
          <c:x val="0.11508597187021009"/>
          <c:y val="0.17598937261022635"/>
          <c:w val="0.85017541304446775"/>
          <c:h val="0.63616949272397583"/>
        </c:manualLayout>
      </c:layout>
      <c:barChart>
        <c:barDir val="col"/>
        <c:grouping val="clustered"/>
        <c:varyColors val="0"/>
        <c:ser>
          <c:idx val="0"/>
          <c:order val="0"/>
          <c:tx>
            <c:v>Uppmätt energianvändning</c:v>
          </c:tx>
          <c:spPr>
            <a:solidFill>
              <a:schemeClr val="accent1"/>
            </a:solidFill>
            <a:ln>
              <a:noFill/>
            </a:ln>
            <a:effectLst/>
          </c:spPr>
          <c:invertIfNegative val="0"/>
          <c:cat>
            <c:strRef>
              <c:f>(Resultat!$B$45,Resultat!$B$35)</c:f>
              <c:strCache>
                <c:ptCount val="2"/>
                <c:pt idx="0">
                  <c:v>Energianvändning under referensåret</c:v>
                </c:pt>
                <c:pt idx="1">
                  <c:v>Energianvändning i drift</c:v>
                </c:pt>
              </c:strCache>
            </c:strRef>
          </c:cat>
          <c:val>
            <c:numRef>
              <c:f>(Resultat!$C$53,Resultat!$C$36)</c:f>
              <c:numCache>
                <c:formatCode>0.0</c:formatCode>
                <c:ptCount val="2"/>
                <c:pt idx="0">
                  <c:v>0</c:v>
                </c:pt>
                <c:pt idx="1">
                  <c:v>0</c:v>
                </c:pt>
              </c:numCache>
            </c:numRef>
          </c:val>
          <c:extLst>
            <c:ext xmlns:c16="http://schemas.microsoft.com/office/drawing/2014/chart" uri="{C3380CC4-5D6E-409C-BE32-E72D297353CC}">
              <c16:uniqueId val="{00000000-6A3F-4541-AFD2-2B5EEEB8C63E}"/>
            </c:ext>
          </c:extLst>
        </c:ser>
        <c:ser>
          <c:idx val="1"/>
          <c:order val="1"/>
          <c:tx>
            <c:v>Normaliserad energianvändning</c:v>
          </c:tx>
          <c:spPr>
            <a:solidFill>
              <a:schemeClr val="accent3"/>
            </a:solidFill>
            <a:ln>
              <a:noFill/>
            </a:ln>
            <a:effectLst/>
          </c:spPr>
          <c:invertIfNegative val="0"/>
          <c:cat>
            <c:strRef>
              <c:f>(Resultat!$B$45,Resultat!$B$35)</c:f>
              <c:strCache>
                <c:ptCount val="2"/>
                <c:pt idx="0">
                  <c:v>Energianvändning under referensåret</c:v>
                </c:pt>
                <c:pt idx="1">
                  <c:v>Energianvändning i drift</c:v>
                </c:pt>
              </c:strCache>
            </c:strRef>
          </c:cat>
          <c:val>
            <c:numRef>
              <c:f>(Resultat!$D$53,Resultat!$D$36)</c:f>
              <c:numCache>
                <c:formatCode>0.0</c:formatCode>
                <c:ptCount val="2"/>
                <c:pt idx="0">
                  <c:v>0</c:v>
                </c:pt>
                <c:pt idx="1">
                  <c:v>0</c:v>
                </c:pt>
              </c:numCache>
            </c:numRef>
          </c:val>
          <c:extLst>
            <c:ext xmlns:c16="http://schemas.microsoft.com/office/drawing/2014/chart" uri="{C3380CC4-5D6E-409C-BE32-E72D297353CC}">
              <c16:uniqueId val="{00000001-6A3F-4541-AFD2-2B5EEEB8C63E}"/>
            </c:ext>
          </c:extLst>
        </c:ser>
        <c:dLbls>
          <c:showLegendKey val="0"/>
          <c:showVal val="0"/>
          <c:showCatName val="0"/>
          <c:showSerName val="0"/>
          <c:showPercent val="0"/>
          <c:showBubbleSize val="0"/>
        </c:dLbls>
        <c:gapWidth val="150"/>
        <c:axId val="481704824"/>
        <c:axId val="481705152"/>
      </c:barChart>
      <c:catAx>
        <c:axId val="481704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481705152"/>
        <c:crosses val="autoZero"/>
        <c:auto val="1"/>
        <c:lblAlgn val="ctr"/>
        <c:lblOffset val="100"/>
        <c:noMultiLvlLbl val="0"/>
      </c:catAx>
      <c:valAx>
        <c:axId val="4817051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sv-SE" sz="1050"/>
                  <a:t>kWh/m</a:t>
                </a:r>
                <a:r>
                  <a:rPr lang="sv-SE" sz="1050" baseline="30000"/>
                  <a:t>2</a:t>
                </a:r>
                <a:r>
                  <a:rPr lang="sv-SE" sz="1050"/>
                  <a:t> A</a:t>
                </a:r>
                <a:r>
                  <a:rPr lang="sv-SE" sz="1050" baseline="-25000"/>
                  <a:t>temp </a:t>
                </a:r>
                <a:r>
                  <a:rPr lang="sv-SE" sz="1050"/>
                  <a:t>och år</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crossAx val="481704824"/>
        <c:crosses val="autoZero"/>
        <c:crossBetween val="between"/>
      </c:valAx>
      <c:spPr>
        <a:noFill/>
        <a:ln>
          <a:noFill/>
        </a:ln>
        <a:effectLst/>
      </c:spPr>
    </c:plotArea>
    <c:legend>
      <c:legendPos val="b"/>
      <c:layout>
        <c:manualLayout>
          <c:xMode val="edge"/>
          <c:yMode val="edge"/>
          <c:x val="0.19335214198376699"/>
          <c:y val="0.90245834154127458"/>
          <c:w val="0.70665846598267534"/>
          <c:h val="7.733244435015834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0" i="0" baseline="0">
                <a:effectLst/>
              </a:rPr>
              <a:t>Byggnadens uppmätt energianvändning (BBR energi)</a:t>
            </a:r>
            <a:br>
              <a:rPr lang="sv-SE" sz="1400" b="0" i="0" baseline="0">
                <a:effectLst/>
              </a:rPr>
            </a:br>
            <a:r>
              <a:rPr lang="sv-SE" sz="1400" b="0" i="0" baseline="0">
                <a:effectLst/>
              </a:rPr>
              <a:t> under </a:t>
            </a:r>
            <a:r>
              <a:rPr lang="sv-SE" sz="1400" b="0" i="1" baseline="0">
                <a:effectLst/>
              </a:rPr>
              <a:t>referensåret</a:t>
            </a:r>
            <a:endParaRPr lang="sv-SE" sz="1400" i="1">
              <a:effectLst/>
            </a:endParaRPr>
          </a:p>
        </c:rich>
      </c:tx>
      <c:layout>
        <c:manualLayout>
          <c:xMode val="edge"/>
          <c:yMode val="edge"/>
          <c:x val="0.16931186807371956"/>
          <c:y val="1.25984963311685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manualLayout>
          <c:layoutTarget val="inner"/>
          <c:xMode val="edge"/>
          <c:yMode val="edge"/>
          <c:x val="0.1020841922651104"/>
          <c:y val="0.15935075233630788"/>
          <c:w val="0.86950253550491252"/>
          <c:h val="0.61201877212416445"/>
        </c:manualLayout>
      </c:layout>
      <c:barChart>
        <c:barDir val="col"/>
        <c:grouping val="stacked"/>
        <c:varyColors val="0"/>
        <c:ser>
          <c:idx val="0"/>
          <c:order val="0"/>
          <c:tx>
            <c:strRef>
              <c:f>Resultat!$J$35</c:f>
              <c:strCache>
                <c:ptCount val="1"/>
                <c:pt idx="0">
                  <c:v>Uppvärmning</c:v>
                </c:pt>
              </c:strCache>
            </c:strRef>
          </c:tx>
          <c:spPr>
            <a:solidFill>
              <a:schemeClr val="accent1"/>
            </a:solidFill>
            <a:ln>
              <a:noFill/>
            </a:ln>
            <a:effectLst/>
          </c:spPr>
          <c:invertIfNegative val="0"/>
          <c:cat>
            <c:strRef>
              <c:f>Resultat!$I$53:$I$64</c:f>
              <c:strCache>
                <c:ptCount val="12"/>
                <c:pt idx="0">
                  <c:v>jan</c:v>
                </c:pt>
                <c:pt idx="1">
                  <c:v>feb</c:v>
                </c:pt>
                <c:pt idx="2">
                  <c:v>mars</c:v>
                </c:pt>
                <c:pt idx="3">
                  <c:v>apr</c:v>
                </c:pt>
                <c:pt idx="4">
                  <c:v>maj</c:v>
                </c:pt>
                <c:pt idx="5">
                  <c:v>jun </c:v>
                </c:pt>
                <c:pt idx="6">
                  <c:v>jul</c:v>
                </c:pt>
                <c:pt idx="7">
                  <c:v>aug</c:v>
                </c:pt>
                <c:pt idx="8">
                  <c:v>sept</c:v>
                </c:pt>
                <c:pt idx="9">
                  <c:v>okt</c:v>
                </c:pt>
                <c:pt idx="10">
                  <c:v>nov</c:v>
                </c:pt>
                <c:pt idx="11">
                  <c:v>dec</c:v>
                </c:pt>
              </c:strCache>
            </c:strRef>
          </c:cat>
          <c:val>
            <c:numRef>
              <c:f>Resultat!$J$53:$J$64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FA9-4184-9E96-240F3D916D2C}"/>
            </c:ext>
          </c:extLst>
        </c:ser>
        <c:ser>
          <c:idx val="1"/>
          <c:order val="1"/>
          <c:tx>
            <c:strRef>
              <c:f>Resultat!$K$35</c:f>
              <c:strCache>
                <c:ptCount val="1"/>
                <c:pt idx="0">
                  <c:v>Tappvarmvatten</c:v>
                </c:pt>
              </c:strCache>
            </c:strRef>
          </c:tx>
          <c:spPr>
            <a:solidFill>
              <a:schemeClr val="accent3"/>
            </a:solidFill>
            <a:ln>
              <a:noFill/>
            </a:ln>
            <a:effectLst/>
          </c:spPr>
          <c:invertIfNegative val="0"/>
          <c:cat>
            <c:strRef>
              <c:f>Resultat!$I$53:$I$64</c:f>
              <c:strCache>
                <c:ptCount val="12"/>
                <c:pt idx="0">
                  <c:v>jan</c:v>
                </c:pt>
                <c:pt idx="1">
                  <c:v>feb</c:v>
                </c:pt>
                <c:pt idx="2">
                  <c:v>mars</c:v>
                </c:pt>
                <c:pt idx="3">
                  <c:v>apr</c:v>
                </c:pt>
                <c:pt idx="4">
                  <c:v>maj</c:v>
                </c:pt>
                <c:pt idx="5">
                  <c:v>jun </c:v>
                </c:pt>
                <c:pt idx="6">
                  <c:v>jul</c:v>
                </c:pt>
                <c:pt idx="7">
                  <c:v>aug</c:v>
                </c:pt>
                <c:pt idx="8">
                  <c:v>sept</c:v>
                </c:pt>
                <c:pt idx="9">
                  <c:v>okt</c:v>
                </c:pt>
                <c:pt idx="10">
                  <c:v>nov</c:v>
                </c:pt>
                <c:pt idx="11">
                  <c:v>dec</c:v>
                </c:pt>
              </c:strCache>
            </c:strRef>
          </c:cat>
          <c:val>
            <c:numRef>
              <c:f>Resultat!$K$53:$K$64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BFA9-4184-9E96-240F3D916D2C}"/>
            </c:ext>
          </c:extLst>
        </c:ser>
        <c:ser>
          <c:idx val="2"/>
          <c:order val="2"/>
          <c:tx>
            <c:strRef>
              <c:f>Resultat!$L$35</c:f>
              <c:strCache>
                <c:ptCount val="1"/>
                <c:pt idx="0">
                  <c:v>Komfortkyla</c:v>
                </c:pt>
              </c:strCache>
            </c:strRef>
          </c:tx>
          <c:spPr>
            <a:solidFill>
              <a:schemeClr val="accent5"/>
            </a:solidFill>
            <a:ln>
              <a:noFill/>
            </a:ln>
            <a:effectLst/>
          </c:spPr>
          <c:invertIfNegative val="0"/>
          <c:cat>
            <c:strRef>
              <c:f>Resultat!$I$53:$I$64</c:f>
              <c:strCache>
                <c:ptCount val="12"/>
                <c:pt idx="0">
                  <c:v>jan</c:v>
                </c:pt>
                <c:pt idx="1">
                  <c:v>feb</c:v>
                </c:pt>
                <c:pt idx="2">
                  <c:v>mars</c:v>
                </c:pt>
                <c:pt idx="3">
                  <c:v>apr</c:v>
                </c:pt>
                <c:pt idx="4">
                  <c:v>maj</c:v>
                </c:pt>
                <c:pt idx="5">
                  <c:v>jun </c:v>
                </c:pt>
                <c:pt idx="6">
                  <c:v>jul</c:v>
                </c:pt>
                <c:pt idx="7">
                  <c:v>aug</c:v>
                </c:pt>
                <c:pt idx="8">
                  <c:v>sept</c:v>
                </c:pt>
                <c:pt idx="9">
                  <c:v>okt</c:v>
                </c:pt>
                <c:pt idx="10">
                  <c:v>nov</c:v>
                </c:pt>
                <c:pt idx="11">
                  <c:v>dec</c:v>
                </c:pt>
              </c:strCache>
            </c:strRef>
          </c:cat>
          <c:val>
            <c:numRef>
              <c:f>Resultat!$L$53:$L$64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BFA9-4184-9E96-240F3D916D2C}"/>
            </c:ext>
          </c:extLst>
        </c:ser>
        <c:ser>
          <c:idx val="3"/>
          <c:order val="3"/>
          <c:tx>
            <c:strRef>
              <c:f>Resultat!$M$35</c:f>
              <c:strCache>
                <c:ptCount val="1"/>
                <c:pt idx="0">
                  <c:v>Fastighetsenergi</c:v>
                </c:pt>
              </c:strCache>
            </c:strRef>
          </c:tx>
          <c:spPr>
            <a:solidFill>
              <a:schemeClr val="accent1">
                <a:lumMod val="60000"/>
              </a:schemeClr>
            </a:solidFill>
            <a:ln>
              <a:noFill/>
            </a:ln>
            <a:effectLst/>
          </c:spPr>
          <c:invertIfNegative val="0"/>
          <c:cat>
            <c:strRef>
              <c:f>Resultat!$I$53:$I$64</c:f>
              <c:strCache>
                <c:ptCount val="12"/>
                <c:pt idx="0">
                  <c:v>jan</c:v>
                </c:pt>
                <c:pt idx="1">
                  <c:v>feb</c:v>
                </c:pt>
                <c:pt idx="2">
                  <c:v>mars</c:v>
                </c:pt>
                <c:pt idx="3">
                  <c:v>apr</c:v>
                </c:pt>
                <c:pt idx="4">
                  <c:v>maj</c:v>
                </c:pt>
                <c:pt idx="5">
                  <c:v>jun </c:v>
                </c:pt>
                <c:pt idx="6">
                  <c:v>jul</c:v>
                </c:pt>
                <c:pt idx="7">
                  <c:v>aug</c:v>
                </c:pt>
                <c:pt idx="8">
                  <c:v>sept</c:v>
                </c:pt>
                <c:pt idx="9">
                  <c:v>okt</c:v>
                </c:pt>
                <c:pt idx="10">
                  <c:v>nov</c:v>
                </c:pt>
                <c:pt idx="11">
                  <c:v>dec</c:v>
                </c:pt>
              </c:strCache>
            </c:strRef>
          </c:cat>
          <c:val>
            <c:numRef>
              <c:f>Resultat!$M$53:$M$64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BFA9-4184-9E96-240F3D916D2C}"/>
            </c:ext>
          </c:extLst>
        </c:ser>
        <c:dLbls>
          <c:showLegendKey val="0"/>
          <c:showVal val="0"/>
          <c:showCatName val="0"/>
          <c:showSerName val="0"/>
          <c:showPercent val="0"/>
          <c:showBubbleSize val="0"/>
        </c:dLbls>
        <c:gapWidth val="150"/>
        <c:overlap val="100"/>
        <c:axId val="659339528"/>
        <c:axId val="659339856"/>
      </c:barChart>
      <c:catAx>
        <c:axId val="659339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659339856"/>
        <c:crosses val="autoZero"/>
        <c:auto val="1"/>
        <c:lblAlgn val="ctr"/>
        <c:lblOffset val="100"/>
        <c:noMultiLvlLbl val="0"/>
      </c:catAx>
      <c:valAx>
        <c:axId val="659339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sv-SE" sz="1100"/>
                  <a:t>kWh/m</a:t>
                </a:r>
                <a:r>
                  <a:rPr lang="sv-SE" sz="1100" baseline="30000"/>
                  <a:t>2 </a:t>
                </a:r>
                <a:r>
                  <a:rPr lang="sv-SE" sz="1100" baseline="0"/>
                  <a:t>A</a:t>
                </a:r>
                <a:r>
                  <a:rPr lang="sv-SE" sz="1100" baseline="-25000"/>
                  <a:t>temp </a:t>
                </a:r>
                <a:endParaRPr lang="sv-SE" sz="1100"/>
              </a:p>
            </c:rich>
          </c:tx>
          <c:layout>
            <c:manualLayout>
              <c:xMode val="edge"/>
              <c:yMode val="edge"/>
              <c:x val="2.0368019231674809E-2"/>
              <c:y val="0.3490361998066042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crossAx val="659339528"/>
        <c:crosses val="autoZero"/>
        <c:crossBetween val="between"/>
      </c:valAx>
      <c:spPr>
        <a:noFill/>
        <a:ln>
          <a:noFill/>
        </a:ln>
        <a:effectLst/>
      </c:spPr>
    </c:plotArea>
    <c:legend>
      <c:legendPos val="b"/>
      <c:layout>
        <c:manualLayout>
          <c:xMode val="edge"/>
          <c:yMode val="edge"/>
          <c:x val="0.13570879619671886"/>
          <c:y val="0.89341383683152154"/>
          <c:w val="0.78399965236951452"/>
          <c:h val="7.684068939903436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Beräknat primärenergital (EP</a:t>
            </a:r>
            <a:r>
              <a:rPr lang="en-US" sz="1400" baseline="-25000"/>
              <a:t>pet</a:t>
            </a:r>
            <a:r>
              <a:rPr lang="en-US" sz="1400"/>
              <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col"/>
        <c:grouping val="clustered"/>
        <c:varyColors val="0"/>
        <c:ser>
          <c:idx val="0"/>
          <c:order val="0"/>
          <c:tx>
            <c:strRef>
              <c:f>Statistik!$B$16</c:f>
              <c:strCache>
                <c:ptCount val="1"/>
                <c:pt idx="0">
                  <c:v>Beräknat primärenergital (EPpet), kWh/m2 Atemp och år</c:v>
                </c:pt>
              </c:strCache>
            </c:strRef>
          </c:tx>
          <c:spPr>
            <a:solidFill>
              <a:schemeClr val="accent1"/>
            </a:solidFill>
            <a:ln>
              <a:noFill/>
            </a:ln>
            <a:effectLst/>
          </c:spPr>
          <c:invertIfNegative val="0"/>
          <c:cat>
            <c:strRef>
              <c:f>Statistik!$D$14:$L$14</c:f>
              <c:strCache>
                <c:ptCount val="2"/>
                <c:pt idx="0">
                  <c:v>Referensår</c:v>
                </c:pt>
                <c:pt idx="1">
                  <c:v>Certifiering</c:v>
                </c:pt>
              </c:strCache>
            </c:strRef>
          </c:cat>
          <c:val>
            <c:numRef>
              <c:f>Statistik!$D$16:$L$16</c:f>
              <c:numCache>
                <c:formatCode>General</c:formatCode>
                <c:ptCount val="9"/>
              </c:numCache>
            </c:numRef>
          </c:val>
          <c:extLst>
            <c:ext xmlns:c16="http://schemas.microsoft.com/office/drawing/2014/chart" uri="{C3380CC4-5D6E-409C-BE32-E72D297353CC}">
              <c16:uniqueId val="{00000000-625E-4EEC-8FA0-274D11495EB5}"/>
            </c:ext>
          </c:extLst>
        </c:ser>
        <c:dLbls>
          <c:showLegendKey val="0"/>
          <c:showVal val="0"/>
          <c:showCatName val="0"/>
          <c:showSerName val="0"/>
          <c:showPercent val="0"/>
          <c:showBubbleSize val="0"/>
        </c:dLbls>
        <c:gapWidth val="70"/>
        <c:overlap val="-27"/>
        <c:axId val="387682616"/>
        <c:axId val="387684256"/>
      </c:barChart>
      <c:catAx>
        <c:axId val="387682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22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87684256"/>
        <c:crosses val="autoZero"/>
        <c:auto val="1"/>
        <c:lblAlgn val="ctr"/>
        <c:lblOffset val="100"/>
        <c:noMultiLvlLbl val="0"/>
      </c:catAx>
      <c:valAx>
        <c:axId val="387684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sv-SE" sz="1200"/>
                  <a:t>kWh/m</a:t>
                </a:r>
                <a:r>
                  <a:rPr lang="sv-SE" sz="1200" baseline="-25000"/>
                  <a:t>2</a:t>
                </a:r>
                <a:r>
                  <a:rPr lang="sv-SE" sz="1200"/>
                  <a:t> A</a:t>
                </a:r>
                <a:r>
                  <a:rPr lang="sv-SE" sz="1200" baseline="30000"/>
                  <a:t>temp</a:t>
                </a:r>
                <a:r>
                  <a:rPr lang="sv-SE" sz="1200" baseline="0"/>
                  <a:t> och år</a:t>
                </a:r>
                <a:endParaRPr lang="sv-SE" sz="1200"/>
              </a:p>
            </c:rich>
          </c:tx>
          <c:layout>
            <c:manualLayout>
              <c:xMode val="edge"/>
              <c:yMode val="edge"/>
              <c:x val="9.8473658296405718E-3"/>
              <c:y val="0.20392206182560513"/>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crossAx val="3876826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483814523184598E-2"/>
          <c:y val="0.14666682064758074"/>
          <c:w val="0.73329396325459317"/>
          <c:h val="0.54402261839644972"/>
        </c:manualLayout>
      </c:layout>
      <c:lineChart>
        <c:grouping val="standard"/>
        <c:varyColors val="0"/>
        <c:ser>
          <c:idx val="0"/>
          <c:order val="0"/>
          <c:tx>
            <c:v>2015</c:v>
          </c:tx>
          <c:spPr>
            <a:ln w="28575" cap="rnd">
              <a:solidFill>
                <a:schemeClr val="accent1"/>
              </a:solidFill>
              <a:round/>
            </a:ln>
            <a:effectLst/>
          </c:spPr>
          <c:marker>
            <c:symbol val="none"/>
          </c:marker>
          <c:val>
            <c:numRef>
              <c:f>Normalår!$O$5:$O$16</c:f>
              <c:numCache>
                <c:formatCode>0.00</c:formatCode>
                <c:ptCount val="12"/>
                <c:pt idx="0">
                  <c:v>1.2129055778344879</c:v>
                </c:pt>
                <c:pt idx="1">
                  <c:v>1.1482509047044633</c:v>
                </c:pt>
                <c:pt idx="2">
                  <c:v>1.1461421249480537</c:v>
                </c:pt>
                <c:pt idx="3">
                  <c:v>1.0636562911003944</c:v>
                </c:pt>
                <c:pt idx="4">
                  <c:v>1.1566567495238664</c:v>
                </c:pt>
                <c:pt idx="5">
                  <c:v>1.1566567495238664</c:v>
                </c:pt>
                <c:pt idx="6">
                  <c:v>1.1566567495238664</c:v>
                </c:pt>
                <c:pt idx="7">
                  <c:v>1.1566567495238664</c:v>
                </c:pt>
                <c:pt idx="8">
                  <c:v>1.1566567495238664</c:v>
                </c:pt>
                <c:pt idx="9">
                  <c:v>1.2073552425665102</c:v>
                </c:pt>
                <c:pt idx="10">
                  <c:v>1.1398574002977357</c:v>
                </c:pt>
                <c:pt idx="11">
                  <c:v>1.1784297052154193</c:v>
                </c:pt>
              </c:numCache>
            </c:numRef>
          </c:val>
          <c:smooth val="0"/>
          <c:extLst>
            <c:ext xmlns:c16="http://schemas.microsoft.com/office/drawing/2014/chart" uri="{C3380CC4-5D6E-409C-BE32-E72D297353CC}">
              <c16:uniqueId val="{00000000-8ADD-4D12-9B95-A809BCD7EFFF}"/>
            </c:ext>
          </c:extLst>
        </c:ser>
        <c:ser>
          <c:idx val="1"/>
          <c:order val="1"/>
          <c:tx>
            <c:v>2016</c:v>
          </c:tx>
          <c:spPr>
            <a:ln w="28575" cap="rnd">
              <a:solidFill>
                <a:schemeClr val="accent2"/>
              </a:solidFill>
              <a:round/>
            </a:ln>
            <a:effectLst/>
          </c:spPr>
          <c:marker>
            <c:symbol val="none"/>
          </c:marker>
          <c:val>
            <c:numRef>
              <c:f>Normalår!$O$17:$O$28</c:f>
              <c:numCache>
                <c:formatCode>0.00</c:formatCode>
                <c:ptCount val="12"/>
                <c:pt idx="0">
                  <c:v>0.64180304150725009</c:v>
                </c:pt>
                <c:pt idx="1">
                  <c:v>0.78229783037475353</c:v>
                </c:pt>
                <c:pt idx="2">
                  <c:v>0.89371354504212575</c:v>
                </c:pt>
                <c:pt idx="3">
                  <c:v>0.79339437540876401</c:v>
                </c:pt>
                <c:pt idx="4">
                  <c:v>0.7657742017946515</c:v>
                </c:pt>
                <c:pt idx="5">
                  <c:v>0.7657742017946515</c:v>
                </c:pt>
                <c:pt idx="6">
                  <c:v>0.7657742017946515</c:v>
                </c:pt>
                <c:pt idx="7">
                  <c:v>0.7657742017946515</c:v>
                </c:pt>
                <c:pt idx="8">
                  <c:v>0.7657742017946515</c:v>
                </c:pt>
                <c:pt idx="9">
                  <c:v>0.81029276618091117</c:v>
                </c:pt>
                <c:pt idx="10">
                  <c:v>0.71728626368208259</c:v>
                </c:pt>
                <c:pt idx="11">
                  <c:v>0.72163159036667379</c:v>
                </c:pt>
              </c:numCache>
            </c:numRef>
          </c:val>
          <c:smooth val="0"/>
          <c:extLst>
            <c:ext xmlns:c16="http://schemas.microsoft.com/office/drawing/2014/chart" uri="{C3380CC4-5D6E-409C-BE32-E72D297353CC}">
              <c16:uniqueId val="{00000001-8ADD-4D12-9B95-A809BCD7EFFF}"/>
            </c:ext>
          </c:extLst>
        </c:ser>
        <c:ser>
          <c:idx val="2"/>
          <c:order val="2"/>
          <c:tx>
            <c:v>2017</c:v>
          </c:tx>
          <c:spPr>
            <a:ln w="28575" cap="rnd">
              <a:solidFill>
                <a:schemeClr val="accent3"/>
              </a:solidFill>
              <a:round/>
            </a:ln>
            <a:effectLst/>
          </c:spPr>
          <c:marker>
            <c:symbol val="none"/>
          </c:marker>
          <c:val>
            <c:numRef>
              <c:f>Normalår!$O$29:$O$40</c:f>
              <c:numCache>
                <c:formatCode>0.00</c:formatCode>
                <c:ptCount val="12"/>
                <c:pt idx="0">
                  <c:v>1.1255709049901326</c:v>
                </c:pt>
                <c:pt idx="1">
                  <c:v>1.0611448637199712</c:v>
                </c:pt>
                <c:pt idx="2">
                  <c:v>1.1304823063260008</c:v>
                </c:pt>
                <c:pt idx="3">
                  <c:v>0.96117581808097619</c:v>
                </c:pt>
                <c:pt idx="4">
                  <c:v>1.0714919147158646</c:v>
                </c:pt>
                <c:pt idx="5">
                  <c:v>1.0714919147158646</c:v>
                </c:pt>
                <c:pt idx="6">
                  <c:v>1.0714919147158646</c:v>
                </c:pt>
                <c:pt idx="7">
                  <c:v>1.0714919147158646</c:v>
                </c:pt>
                <c:pt idx="8">
                  <c:v>1.0714919147158646</c:v>
                </c:pt>
                <c:pt idx="9">
                  <c:v>1.2620386463551787</c:v>
                </c:pt>
                <c:pt idx="10">
                  <c:v>0.95446791759611593</c:v>
                </c:pt>
                <c:pt idx="11">
                  <c:v>1.0055629459426774</c:v>
                </c:pt>
              </c:numCache>
            </c:numRef>
          </c:val>
          <c:smooth val="0"/>
          <c:extLst>
            <c:ext xmlns:c16="http://schemas.microsoft.com/office/drawing/2014/chart" uri="{C3380CC4-5D6E-409C-BE32-E72D297353CC}">
              <c16:uniqueId val="{00000002-8ADD-4D12-9B95-A809BCD7EFFF}"/>
            </c:ext>
          </c:extLst>
        </c:ser>
        <c:ser>
          <c:idx val="4"/>
          <c:order val="3"/>
          <c:tx>
            <c:v>2018</c:v>
          </c:tx>
          <c:spPr>
            <a:ln w="28575" cap="rnd">
              <a:solidFill>
                <a:schemeClr val="accent5"/>
              </a:solidFill>
              <a:round/>
            </a:ln>
            <a:effectLst/>
          </c:spPr>
          <c:marker>
            <c:symbol val="none"/>
          </c:marker>
          <c:val>
            <c:numRef>
              <c:f>Normalår!$O$41:$O$52</c:f>
              <c:numCache>
                <c:formatCode>0.00</c:formatCode>
                <c:ptCount val="12"/>
                <c:pt idx="0">
                  <c:v>1.1329814404903797</c:v>
                </c:pt>
                <c:pt idx="1">
                  <c:v>0.90197564788932583</c:v>
                </c:pt>
                <c:pt idx="2">
                  <c:v>0.83407258064516121</c:v>
                </c:pt>
                <c:pt idx="3">
                  <c:v>1.1116100064143681</c:v>
                </c:pt>
                <c:pt idx="4">
                  <c:v>1.0406863648338487</c:v>
                </c:pt>
                <c:pt idx="5">
                  <c:v>1.0406863648338487</c:v>
                </c:pt>
                <c:pt idx="6">
                  <c:v>1.0406863648338487</c:v>
                </c:pt>
                <c:pt idx="7">
                  <c:v>1.0406863648338487</c:v>
                </c:pt>
                <c:pt idx="8">
                  <c:v>1.0406863648338487</c:v>
                </c:pt>
                <c:pt idx="9">
                  <c:v>1.2656618476366248</c:v>
                </c:pt>
                <c:pt idx="10">
                  <c:v>1.067351430667645</c:v>
                </c:pt>
                <c:pt idx="11">
                  <c:v>0.97115160009343615</c:v>
                </c:pt>
              </c:numCache>
            </c:numRef>
          </c:val>
          <c:smooth val="0"/>
          <c:extLst>
            <c:ext xmlns:c16="http://schemas.microsoft.com/office/drawing/2014/chart" uri="{C3380CC4-5D6E-409C-BE32-E72D297353CC}">
              <c16:uniqueId val="{00000003-8ADD-4D12-9B95-A809BCD7EFFF}"/>
            </c:ext>
          </c:extLst>
        </c:ser>
        <c:ser>
          <c:idx val="5"/>
          <c:order val="4"/>
          <c:tx>
            <c:v>2019</c:v>
          </c:tx>
          <c:spPr>
            <a:ln w="28575" cap="rnd">
              <a:solidFill>
                <a:schemeClr val="accent6"/>
              </a:solidFill>
              <a:round/>
            </a:ln>
            <a:effectLst/>
          </c:spPr>
          <c:marker>
            <c:symbol val="none"/>
          </c:marker>
          <c:val>
            <c:numRef>
              <c:f>Normalår!$O$53:$O$64</c:f>
              <c:numCache>
                <c:formatCode>0.00</c:formatCode>
                <c:ptCount val="12"/>
                <c:pt idx="0">
                  <c:v>1.0083855324307942</c:v>
                </c:pt>
                <c:pt idx="1">
                  <c:v>1.2305604033352724</c:v>
                </c:pt>
                <c:pt idx="2">
                  <c:v>1.1332694151486096</c:v>
                </c:pt>
                <c:pt idx="3">
                  <c:v>1.216994382022472</c:v>
                </c:pt>
                <c:pt idx="4">
                  <c:v>1.1051424188202534</c:v>
                </c:pt>
                <c:pt idx="5">
                  <c:v>1.1051424188202534</c:v>
                </c:pt>
                <c:pt idx="6">
                  <c:v>1.1051424188202534</c:v>
                </c:pt>
                <c:pt idx="7">
                  <c:v>1.1051424188202534</c:v>
                </c:pt>
                <c:pt idx="8">
                  <c:v>1.1051424188202534</c:v>
                </c:pt>
                <c:pt idx="9">
                  <c:v>1.0846147087250682</c:v>
                </c:pt>
                <c:pt idx="10">
                  <c:v>0.95931421035278608</c:v>
                </c:pt>
                <c:pt idx="11">
                  <c:v>1.1028582797267723</c:v>
                </c:pt>
              </c:numCache>
            </c:numRef>
          </c:val>
          <c:smooth val="0"/>
          <c:extLst>
            <c:ext xmlns:c16="http://schemas.microsoft.com/office/drawing/2014/chart" uri="{C3380CC4-5D6E-409C-BE32-E72D297353CC}">
              <c16:uniqueId val="{00000004-8ADD-4D12-9B95-A809BCD7EFFF}"/>
            </c:ext>
          </c:extLst>
        </c:ser>
        <c:ser>
          <c:idx val="6"/>
          <c:order val="5"/>
          <c:tx>
            <c:v>2020</c:v>
          </c:tx>
          <c:spPr>
            <a:ln w="28575" cap="rnd">
              <a:solidFill>
                <a:schemeClr val="accent1">
                  <a:lumMod val="60000"/>
                </a:schemeClr>
              </a:solidFill>
              <a:round/>
            </a:ln>
            <a:effectLst/>
          </c:spPr>
          <c:marker>
            <c:symbol val="none"/>
          </c:marker>
          <c:val>
            <c:numRef>
              <c:f>Normalår!$O$65:$O$76</c:f>
              <c:numCache>
                <c:formatCode>0.00</c:formatCode>
                <c:ptCount val="12"/>
                <c:pt idx="0">
                  <c:v>1.508615477629988</c:v>
                </c:pt>
                <c:pt idx="1">
                  <c:v>1.2635561160151325</c:v>
                </c:pt>
                <c:pt idx="2">
                  <c:v>1.1274783675137969</c:v>
                </c:pt>
                <c:pt idx="3">
                  <c:v>1.1077527166468815</c:v>
                </c:pt>
                <c:pt idx="4">
                  <c:v>1.2579134763715589</c:v>
                </c:pt>
                <c:pt idx="5">
                  <c:v>1.2579134763715589</c:v>
                </c:pt>
                <c:pt idx="6">
                  <c:v>1.2579134763715589</c:v>
                </c:pt>
                <c:pt idx="7">
                  <c:v>1.2579134763715589</c:v>
                </c:pt>
                <c:pt idx="8">
                  <c:v>1.2579134763715589</c:v>
                </c:pt>
                <c:pt idx="9">
                  <c:v>1.3148700468683427</c:v>
                </c:pt>
                <c:pt idx="10">
                  <c:v>1.3062763760438179</c:v>
                </c:pt>
                <c:pt idx="11">
                  <c:v>1.1768452338829523</c:v>
                </c:pt>
              </c:numCache>
            </c:numRef>
          </c:val>
          <c:smooth val="0"/>
          <c:extLst>
            <c:ext xmlns:c16="http://schemas.microsoft.com/office/drawing/2014/chart" uri="{C3380CC4-5D6E-409C-BE32-E72D297353CC}">
              <c16:uniqueId val="{00000005-8ADD-4D12-9B95-A809BCD7EFFF}"/>
            </c:ext>
          </c:extLst>
        </c:ser>
        <c:dLbls>
          <c:showLegendKey val="0"/>
          <c:showVal val="0"/>
          <c:showCatName val="0"/>
          <c:showSerName val="0"/>
          <c:showPercent val="0"/>
          <c:showBubbleSize val="0"/>
        </c:dLbls>
        <c:smooth val="0"/>
        <c:axId val="500641272"/>
        <c:axId val="500642256"/>
      </c:lineChart>
      <c:catAx>
        <c:axId val="5006412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00642256"/>
        <c:crosses val="autoZero"/>
        <c:auto val="1"/>
        <c:lblAlgn val="ctr"/>
        <c:lblOffset val="100"/>
        <c:noMultiLvlLbl val="0"/>
      </c:catAx>
      <c:valAx>
        <c:axId val="5006422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00641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47003499562555"/>
          <c:y val="2.4163968153031578E-2"/>
          <c:w val="0.71297440944881885"/>
          <c:h val="0.96202805004523606"/>
        </c:manualLayout>
      </c:layout>
      <c:lineChart>
        <c:grouping val="standard"/>
        <c:varyColors val="0"/>
        <c:ser>
          <c:idx val="0"/>
          <c:order val="0"/>
          <c:tx>
            <c:v>2015</c:v>
          </c:tx>
          <c:spPr>
            <a:ln w="28575" cap="rnd">
              <a:solidFill>
                <a:schemeClr val="accent1"/>
              </a:solidFill>
              <a:round/>
            </a:ln>
            <a:effectLst/>
          </c:spPr>
          <c:marker>
            <c:symbol val="none"/>
          </c:marker>
          <c:val>
            <c:numRef>
              <c:f>Normalår!$M$5:$M$16</c:f>
              <c:numCache>
                <c:formatCode>0.00</c:formatCode>
                <c:ptCount val="12"/>
                <c:pt idx="0">
                  <c:v>1.2129055778344879</c:v>
                </c:pt>
                <c:pt idx="1">
                  <c:v>1.1482509047044633</c:v>
                </c:pt>
                <c:pt idx="2">
                  <c:v>1.1461421249480537</c:v>
                </c:pt>
                <c:pt idx="3">
                  <c:v>1.0636562911003944</c:v>
                </c:pt>
                <c:pt idx="4">
                  <c:v>0.63807890222984565</c:v>
                </c:pt>
                <c:pt idx="5">
                  <c:v>0.93334960937500011</c:v>
                </c:pt>
                <c:pt idx="6">
                  <c:v>0.25012382367508618</c:v>
                </c:pt>
                <c:pt idx="7">
                  <c:v>1.6794500723589003</c:v>
                </c:pt>
                <c:pt idx="8">
                  <c:v>1.0116758241758241</c:v>
                </c:pt>
                <c:pt idx="9">
                  <c:v>1.2073552425665102</c:v>
                </c:pt>
                <c:pt idx="10">
                  <c:v>1.1398574002977357</c:v>
                </c:pt>
                <c:pt idx="11">
                  <c:v>1.1784297052154193</c:v>
                </c:pt>
              </c:numCache>
            </c:numRef>
          </c:val>
          <c:smooth val="0"/>
          <c:extLst>
            <c:ext xmlns:c16="http://schemas.microsoft.com/office/drawing/2014/chart" uri="{C3380CC4-5D6E-409C-BE32-E72D297353CC}">
              <c16:uniqueId val="{00000000-BD05-40A9-B050-1C2B749C08AA}"/>
            </c:ext>
          </c:extLst>
        </c:ser>
        <c:ser>
          <c:idx val="1"/>
          <c:order val="1"/>
          <c:tx>
            <c:v>2016</c:v>
          </c:tx>
          <c:spPr>
            <a:ln w="28575" cap="rnd">
              <a:solidFill>
                <a:schemeClr val="accent2"/>
              </a:solidFill>
              <a:round/>
            </a:ln>
            <a:effectLst/>
          </c:spPr>
          <c:marker>
            <c:symbol val="none"/>
          </c:marker>
          <c:val>
            <c:numRef>
              <c:f>Normalår!$M$17:$M$28</c:f>
              <c:numCache>
                <c:formatCode>0.00</c:formatCode>
                <c:ptCount val="12"/>
                <c:pt idx="0">
                  <c:v>0.64180304150725009</c:v>
                </c:pt>
                <c:pt idx="1">
                  <c:v>0.78229783037475353</c:v>
                </c:pt>
                <c:pt idx="2">
                  <c:v>0.89371354504212575</c:v>
                </c:pt>
                <c:pt idx="3">
                  <c:v>0.79339437540876401</c:v>
                </c:pt>
                <c:pt idx="4">
                  <c:v>0.67916260954235641</c:v>
                </c:pt>
                <c:pt idx="5">
                  <c:v>0.94301924025653683</c:v>
                </c:pt>
                <c:pt idx="6">
                  <c:v>0.27209051724137878</c:v>
                </c:pt>
                <c:pt idx="7">
                  <c:v>0.46060726334590196</c:v>
                </c:pt>
                <c:pt idx="8">
                  <c:v>0.83716965046888314</c:v>
                </c:pt>
                <c:pt idx="9">
                  <c:v>0.81029276618091117</c:v>
                </c:pt>
                <c:pt idx="10">
                  <c:v>0.71728626368208259</c:v>
                </c:pt>
                <c:pt idx="11">
                  <c:v>0.72163159036667379</c:v>
                </c:pt>
              </c:numCache>
            </c:numRef>
          </c:val>
          <c:smooth val="0"/>
          <c:extLst>
            <c:ext xmlns:c16="http://schemas.microsoft.com/office/drawing/2014/chart" uri="{C3380CC4-5D6E-409C-BE32-E72D297353CC}">
              <c16:uniqueId val="{00000001-BD05-40A9-B050-1C2B749C08AA}"/>
            </c:ext>
          </c:extLst>
        </c:ser>
        <c:ser>
          <c:idx val="2"/>
          <c:order val="2"/>
          <c:tx>
            <c:v>2017</c:v>
          </c:tx>
          <c:spPr>
            <a:ln w="28575" cap="rnd">
              <a:solidFill>
                <a:schemeClr val="accent3"/>
              </a:solidFill>
              <a:round/>
            </a:ln>
            <a:effectLst/>
          </c:spPr>
          <c:marker>
            <c:symbol val="none"/>
          </c:marker>
          <c:val>
            <c:numRef>
              <c:f>Normalår!$M$29:$M$40</c:f>
              <c:numCache>
                <c:formatCode>0.00</c:formatCode>
                <c:ptCount val="12"/>
                <c:pt idx="0">
                  <c:v>1.1255709049901326</c:v>
                </c:pt>
                <c:pt idx="1">
                  <c:v>1.0611448637199712</c:v>
                </c:pt>
                <c:pt idx="2">
                  <c:v>1.1304823063260008</c:v>
                </c:pt>
                <c:pt idx="3">
                  <c:v>0.96117581808097619</c:v>
                </c:pt>
                <c:pt idx="4">
                  <c:v>0.97263378072163154</c:v>
                </c:pt>
                <c:pt idx="5">
                  <c:v>1.6983562860950694</c:v>
                </c:pt>
                <c:pt idx="6">
                  <c:v>0.54535637149028071</c:v>
                </c:pt>
                <c:pt idx="7">
                  <c:v>0.89029535864978915</c:v>
                </c:pt>
                <c:pt idx="8">
                  <c:v>1.0540250447227191</c:v>
                </c:pt>
                <c:pt idx="9">
                  <c:v>1.2620386463551787</c:v>
                </c:pt>
                <c:pt idx="10">
                  <c:v>0.95446791759611593</c:v>
                </c:pt>
                <c:pt idx="11">
                  <c:v>1.0055629459426774</c:v>
                </c:pt>
              </c:numCache>
            </c:numRef>
          </c:val>
          <c:smooth val="0"/>
          <c:extLst>
            <c:ext xmlns:c16="http://schemas.microsoft.com/office/drawing/2014/chart" uri="{C3380CC4-5D6E-409C-BE32-E72D297353CC}">
              <c16:uniqueId val="{00000002-BD05-40A9-B050-1C2B749C08AA}"/>
            </c:ext>
          </c:extLst>
        </c:ser>
        <c:ser>
          <c:idx val="4"/>
          <c:order val="3"/>
          <c:tx>
            <c:v>2018</c:v>
          </c:tx>
          <c:spPr>
            <a:ln w="28575" cap="rnd">
              <a:solidFill>
                <a:schemeClr val="accent5"/>
              </a:solidFill>
              <a:round/>
            </a:ln>
            <a:effectLst/>
          </c:spPr>
          <c:marker>
            <c:symbol val="none"/>
          </c:marker>
          <c:val>
            <c:numRef>
              <c:f>Normalår!$M$41:$M$52</c:f>
              <c:numCache>
                <c:formatCode>0.00</c:formatCode>
                <c:ptCount val="12"/>
                <c:pt idx="0">
                  <c:v>1.1329814404903797</c:v>
                </c:pt>
                <c:pt idx="1">
                  <c:v>0.90197564788932583</c:v>
                </c:pt>
                <c:pt idx="2">
                  <c:v>0.83407258064516121</c:v>
                </c:pt>
                <c:pt idx="3">
                  <c:v>1.1116100064143681</c:v>
                </c:pt>
                <c:pt idx="4">
                  <c:v>3.1086350974930363</c:v>
                </c:pt>
                <c:pt idx="5">
                  <c:v>9.7030456852792302</c:v>
                </c:pt>
                <c:pt idx="6">
                  <c:v>-0.14066852367687996</c:v>
                </c:pt>
                <c:pt idx="7">
                  <c:v>1.732089552238806</c:v>
                </c:pt>
                <c:pt idx="8">
                  <c:v>1.1917475728155336</c:v>
                </c:pt>
                <c:pt idx="9">
                  <c:v>1.2656618476366248</c:v>
                </c:pt>
                <c:pt idx="10">
                  <c:v>1.067351430667645</c:v>
                </c:pt>
                <c:pt idx="11">
                  <c:v>0.97115160009343615</c:v>
                </c:pt>
              </c:numCache>
            </c:numRef>
          </c:val>
          <c:smooth val="0"/>
          <c:extLst>
            <c:ext xmlns:c16="http://schemas.microsoft.com/office/drawing/2014/chart" uri="{C3380CC4-5D6E-409C-BE32-E72D297353CC}">
              <c16:uniqueId val="{00000003-BD05-40A9-B050-1C2B749C08AA}"/>
            </c:ext>
          </c:extLst>
        </c:ser>
        <c:ser>
          <c:idx val="5"/>
          <c:order val="4"/>
          <c:tx>
            <c:v>2019</c:v>
          </c:tx>
          <c:spPr>
            <a:ln w="28575" cap="rnd">
              <a:solidFill>
                <a:schemeClr val="accent6"/>
              </a:solidFill>
              <a:round/>
            </a:ln>
            <a:effectLst/>
          </c:spPr>
          <c:marker>
            <c:symbol val="none"/>
          </c:marker>
          <c:val>
            <c:numRef>
              <c:f>Normalår!$M$53:$M$64</c:f>
              <c:numCache>
                <c:formatCode>0.00</c:formatCode>
                <c:ptCount val="12"/>
                <c:pt idx="0">
                  <c:v>1.0083855324307942</c:v>
                </c:pt>
                <c:pt idx="1">
                  <c:v>1.2305604033352724</c:v>
                </c:pt>
                <c:pt idx="2">
                  <c:v>1.1332694151486096</c:v>
                </c:pt>
                <c:pt idx="3">
                  <c:v>1.216994382022472</c:v>
                </c:pt>
                <c:pt idx="4">
                  <c:v>0.75232573816907111</c:v>
                </c:pt>
                <c:pt idx="5">
                  <c:v>2.4601029601029598</c:v>
                </c:pt>
                <c:pt idx="6">
                  <c:v>-33.666666666665321</c:v>
                </c:pt>
                <c:pt idx="7">
                  <c:v>2.4770544290288119</c:v>
                </c:pt>
                <c:pt idx="8">
                  <c:v>1.0209669034829316</c:v>
                </c:pt>
                <c:pt idx="9">
                  <c:v>1.0846147087250682</c:v>
                </c:pt>
                <c:pt idx="10">
                  <c:v>0.95931421035278608</c:v>
                </c:pt>
                <c:pt idx="11">
                  <c:v>1.1028582797267723</c:v>
                </c:pt>
              </c:numCache>
            </c:numRef>
          </c:val>
          <c:smooth val="0"/>
          <c:extLst>
            <c:ext xmlns:c16="http://schemas.microsoft.com/office/drawing/2014/chart" uri="{C3380CC4-5D6E-409C-BE32-E72D297353CC}">
              <c16:uniqueId val="{00000004-BD05-40A9-B050-1C2B749C08AA}"/>
            </c:ext>
          </c:extLst>
        </c:ser>
        <c:ser>
          <c:idx val="6"/>
          <c:order val="5"/>
          <c:tx>
            <c:v>2020</c:v>
          </c:tx>
          <c:spPr>
            <a:ln w="28575" cap="rnd">
              <a:solidFill>
                <a:schemeClr val="accent1">
                  <a:lumMod val="60000"/>
                </a:schemeClr>
              </a:solidFill>
              <a:round/>
            </a:ln>
            <a:effectLst/>
          </c:spPr>
          <c:marker>
            <c:symbol val="none"/>
          </c:marker>
          <c:val>
            <c:numRef>
              <c:f>Normalår!$M$65:$M$76</c:f>
              <c:numCache>
                <c:formatCode>0.00</c:formatCode>
                <c:ptCount val="12"/>
                <c:pt idx="0">
                  <c:v>1.508615477629988</c:v>
                </c:pt>
                <c:pt idx="1">
                  <c:v>1.2635561160151325</c:v>
                </c:pt>
                <c:pt idx="2">
                  <c:v>1.1274783675137969</c:v>
                </c:pt>
                <c:pt idx="3">
                  <c:v>1.1077527166468815</c:v>
                </c:pt>
                <c:pt idx="4">
                  <c:v>0.72111656758852427</c:v>
                </c:pt>
                <c:pt idx="5">
                  <c:v>-9.509950248756196</c:v>
                </c:pt>
                <c:pt idx="6">
                  <c:v>0.17601951899616558</c:v>
                </c:pt>
                <c:pt idx="7">
                  <c:v>3.6551181102362111</c:v>
                </c:pt>
                <c:pt idx="8">
                  <c:v>1.2257125026003743</c:v>
                </c:pt>
                <c:pt idx="9">
                  <c:v>1.3148700468683427</c:v>
                </c:pt>
                <c:pt idx="10">
                  <c:v>1.3062763760438179</c:v>
                </c:pt>
                <c:pt idx="11">
                  <c:v>1.1768452338829523</c:v>
                </c:pt>
              </c:numCache>
            </c:numRef>
          </c:val>
          <c:smooth val="0"/>
          <c:extLst>
            <c:ext xmlns:c16="http://schemas.microsoft.com/office/drawing/2014/chart" uri="{C3380CC4-5D6E-409C-BE32-E72D297353CC}">
              <c16:uniqueId val="{00000005-BD05-40A9-B050-1C2B749C08AA}"/>
            </c:ext>
          </c:extLst>
        </c:ser>
        <c:dLbls>
          <c:showLegendKey val="0"/>
          <c:showVal val="0"/>
          <c:showCatName val="0"/>
          <c:showSerName val="0"/>
          <c:showPercent val="0"/>
          <c:showBubbleSize val="0"/>
        </c:dLbls>
        <c:smooth val="0"/>
        <c:axId val="500641272"/>
        <c:axId val="500642256"/>
      </c:lineChart>
      <c:catAx>
        <c:axId val="5006412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00642256"/>
        <c:crosses val="autoZero"/>
        <c:auto val="1"/>
        <c:lblAlgn val="ctr"/>
        <c:lblOffset val="100"/>
        <c:noMultiLvlLbl val="0"/>
      </c:catAx>
      <c:valAx>
        <c:axId val="5006422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00641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png"/><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18</xdr:col>
      <xdr:colOff>51592</xdr:colOff>
      <xdr:row>25</xdr:row>
      <xdr:rowOff>157428</xdr:rowOff>
    </xdr:from>
    <xdr:to>
      <xdr:col>32</xdr:col>
      <xdr:colOff>550529</xdr:colOff>
      <xdr:row>51</xdr:row>
      <xdr:rowOff>2273</xdr:rowOff>
    </xdr:to>
    <xdr:pic>
      <xdr:nvPicPr>
        <xdr:cNvPr id="4" name="Bildobjekt 3">
          <a:extLst>
            <a:ext uri="{FF2B5EF4-FFF2-40B4-BE49-F238E27FC236}">
              <a16:creationId xmlns:a16="http://schemas.microsoft.com/office/drawing/2014/main" id="{6B63E670-5DC1-4E67-3485-D4001E626E03}"/>
            </a:ext>
          </a:extLst>
        </xdr:cNvPr>
        <xdr:cNvPicPr>
          <a:picLocks noChangeAspect="1"/>
        </xdr:cNvPicPr>
      </xdr:nvPicPr>
      <xdr:blipFill>
        <a:blip xmlns:r="http://schemas.openxmlformats.org/officeDocument/2006/relationships" r:embed="rId1"/>
        <a:stretch>
          <a:fillRect/>
        </a:stretch>
      </xdr:blipFill>
      <xdr:spPr>
        <a:xfrm>
          <a:off x="10683873" y="6646334"/>
          <a:ext cx="9000000" cy="4802344"/>
        </a:xfrm>
        <a:prstGeom prst="rect">
          <a:avLst/>
        </a:prstGeom>
        <a:ln>
          <a:solidFill>
            <a:sysClr val="windowText" lastClr="000000"/>
          </a:solidFill>
        </a:ln>
      </xdr:spPr>
    </xdr:pic>
    <xdr:clientData/>
  </xdr:twoCellAnchor>
  <xdr:twoCellAnchor editAs="oneCell">
    <xdr:from>
      <xdr:col>18</xdr:col>
      <xdr:colOff>47625</xdr:colOff>
      <xdr:row>1</xdr:row>
      <xdr:rowOff>1774032</xdr:rowOff>
    </xdr:from>
    <xdr:to>
      <xdr:col>32</xdr:col>
      <xdr:colOff>540212</xdr:colOff>
      <xdr:row>25</xdr:row>
      <xdr:rowOff>139008</xdr:rowOff>
    </xdr:to>
    <xdr:pic>
      <xdr:nvPicPr>
        <xdr:cNvPr id="5" name="Bildobjekt 4">
          <a:extLst>
            <a:ext uri="{FF2B5EF4-FFF2-40B4-BE49-F238E27FC236}">
              <a16:creationId xmlns:a16="http://schemas.microsoft.com/office/drawing/2014/main" id="{B2034B0F-A81F-A295-93B5-F7F3FBC48DCB}"/>
            </a:ext>
          </a:extLst>
        </xdr:cNvPr>
        <xdr:cNvPicPr>
          <a:picLocks noChangeAspect="1"/>
        </xdr:cNvPicPr>
      </xdr:nvPicPr>
      <xdr:blipFill>
        <a:blip xmlns:r="http://schemas.openxmlformats.org/officeDocument/2006/relationships" r:embed="rId2"/>
        <a:stretch>
          <a:fillRect/>
        </a:stretch>
      </xdr:blipFill>
      <xdr:spPr>
        <a:xfrm>
          <a:off x="10679906" y="1964532"/>
          <a:ext cx="9000000" cy="4634013"/>
        </a:xfrm>
        <a:prstGeom prst="rect">
          <a:avLst/>
        </a:prstGeom>
        <a:ln>
          <a:solidFill>
            <a:sysClr val="windowText" lastClr="000000"/>
          </a:solidFill>
        </a:ln>
      </xdr:spPr>
    </xdr:pic>
    <xdr:clientData/>
  </xdr:twoCellAnchor>
  <xdr:twoCellAnchor>
    <xdr:from>
      <xdr:col>6</xdr:col>
      <xdr:colOff>571501</xdr:colOff>
      <xdr:row>2</xdr:row>
      <xdr:rowOff>11906</xdr:rowOff>
    </xdr:from>
    <xdr:to>
      <xdr:col>17</xdr:col>
      <xdr:colOff>9261</xdr:colOff>
      <xdr:row>64</xdr:row>
      <xdr:rowOff>53183</xdr:rowOff>
    </xdr:to>
    <xdr:sp macro="" textlink="">
      <xdr:nvSpPr>
        <xdr:cNvPr id="6" name="Rektangel 15">
          <a:extLst>
            <a:ext uri="{FF2B5EF4-FFF2-40B4-BE49-F238E27FC236}">
              <a16:creationId xmlns:a16="http://schemas.microsoft.com/office/drawing/2014/main" id="{BD09E7D5-C0AE-446E-B9C7-63C927EABCF4}"/>
            </a:ext>
          </a:extLst>
        </xdr:cNvPr>
        <xdr:cNvSpPr/>
      </xdr:nvSpPr>
      <xdr:spPr>
        <a:xfrm>
          <a:off x="4345782" y="2000250"/>
          <a:ext cx="6117167" cy="11947527"/>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Om</a:t>
          </a:r>
          <a:r>
            <a:rPr lang="sv-SE" sz="1200" b="1" baseline="0">
              <a:solidFill>
                <a:sysClr val="windowText" lastClr="000000"/>
              </a:solidFill>
            </a:rPr>
            <a:t> verktyget:</a:t>
          </a:r>
          <a:endParaRPr lang="sv-SE" sz="1200" b="1">
            <a:solidFill>
              <a:sysClr val="windowText" lastClr="000000"/>
            </a:solidFill>
          </a:endParaRPr>
        </a:p>
        <a:p>
          <a:pPr algn="l"/>
          <a:r>
            <a:rPr lang="sv-SE" sz="1200" b="0" baseline="0">
              <a:solidFill>
                <a:sysClr val="windowText" lastClr="000000"/>
              </a:solidFill>
            </a:rPr>
            <a:t>Vid certifiering enligt GreenBuilding 8.0 ska uppfyllandet av energiprestanda kriterium (Kriterium 6 för ny byggnad och Kriterium 6 alt 7 för befintlig byggnad) ske via beräknad energiprestanda, baserad på uppmätt energianvändning. Detta Excelverktyg är till för att underlätta verifieringen av en byggnads specifika energianvändning utifrån uppmätta värden och beräknar primärenergital enligt Boverkets byggregler BBR29. Verktyget är anpassat för att användas på flerbostadshus och lokalbyggnader. Verktyget kan även användas för normalisering av uppmätta värden och beräkning av primärenergital enligt BBR29 samt BBR 25 för återapportering enligt tidigare versioner av GreenBuilding. Syftet med verktyget är att harmonisera de beräkningar som görs för certifieringen samt underlätta granskningen av inkomna ansökningar/återapporteringar. Ifylld excellfil laddas upp i GBO.</a:t>
          </a:r>
        </a:p>
        <a:p>
          <a:pPr algn="l"/>
          <a:endParaRPr lang="sv-SE" sz="1200" b="0" baseline="0">
            <a:solidFill>
              <a:sysClr val="windowText" lastClr="000000"/>
            </a:solidFill>
          </a:endParaRPr>
        </a:p>
        <a:p>
          <a:pPr algn="l"/>
          <a:r>
            <a:rPr lang="sv-SE" sz="1200" b="0" baseline="0">
              <a:solidFill>
                <a:sysClr val="windowText" lastClr="000000"/>
              </a:solidFill>
            </a:rPr>
            <a:t>Beräkning av primärenergital för att fastställa byggnadens energiprestanda baseras på levererad (köpt) energi till byggnaden vid normalt brukande under ett normalår enligt Boverkets föreskrifter BEN (2016:12). Verktyget har funktioner för normalisering av energi till tappvarmvatten, normalisering av energianvändningen på grund av avvikelser i innetemperatur och avvikelser i internlaster (i flerbostadshus) samt normalårskorrigering av den klimatberoende energianvändningen. Korrigering pga. avvikelser i internlaster i lokaler görs med dynamisk energiberäkning. </a:t>
          </a:r>
        </a:p>
        <a:p>
          <a:pPr algn="l"/>
          <a:endParaRPr lang="sv-SE" sz="1200" b="0" baseline="0">
            <a:solidFill>
              <a:sysClr val="windowText" lastClr="000000"/>
            </a:solidFill>
          </a:endParaRPr>
        </a:p>
        <a:p>
          <a:pPr algn="l"/>
          <a:r>
            <a:rPr lang="sv-SE" sz="1200" b="0" baseline="0">
              <a:solidFill>
                <a:sysClr val="windowText" lastClr="000000"/>
              </a:solidFill>
            </a:rPr>
            <a:t>Normalårskorrigering baseras på månadsvisa värden enligt graddagsmetoden med klimatfiler från Sveby. Korrigering av energi för uppvärmning på grund av avvikelser i innetemperatur hanteras genom att en graddagsbaserad kvot tas fram för uppvärmning till normal innetemperatur respektive uppmätt innetemperatur.</a:t>
          </a:r>
        </a:p>
        <a:p>
          <a:pPr algn="l"/>
          <a:endParaRPr lang="sv-SE" sz="1200" b="0" baseline="0">
            <a:solidFill>
              <a:sysClr val="windowText" lastClr="000000"/>
            </a:solidFill>
          </a:endParaRPr>
        </a:p>
        <a:p>
          <a:pPr algn="l"/>
          <a:r>
            <a:rPr lang="sv-SE" sz="1200" b="0" baseline="0">
              <a:solidFill>
                <a:sysClr val="windowText" lastClr="000000"/>
              </a:solidFill>
            </a:rPr>
            <a:t>Mätdata som behövs för att normalisera och beräkna en byggnadens energiprestanda baseras på mätanvisningar som finns i GreenBuilding mall för Mätplan, vilken grundas på Sveby-s ”Mätanvisningar version 2.0”. Tänk på att mätuppgifter vid behov bearbetas före normalisering av mätvärden. Mer information om hantering av mätdata finns i Svebys "Verifieringsanvisningar version 2.0" och i manualen GreenBuilding 8.0 Ny Byggnad eller i GreenBuilding 8.0 Befintlig Byggnad.</a:t>
          </a:r>
        </a:p>
        <a:p>
          <a:pPr algn="l"/>
          <a:endParaRPr lang="sv-SE" sz="1200" b="0" baseline="0">
            <a:solidFill>
              <a:sysClr val="windowText" lastClr="000000"/>
            </a:solidFill>
          </a:endParaRPr>
        </a:p>
        <a:p>
          <a:pPr algn="l"/>
          <a:r>
            <a:rPr lang="sv-SE" sz="1200" b="0" i="1" baseline="0">
              <a:solidFill>
                <a:sysClr val="windowText" lastClr="000000"/>
              </a:solidFill>
            </a:rPr>
            <a:t>Programmet har utvecklats av CIT Energy Management på uppdrag av SGBC.  SGBC tar inte ansvar för mätdata som matas in i programmet, resultat eller användning av resultat.</a:t>
          </a:r>
        </a:p>
        <a:p>
          <a:pPr algn="l"/>
          <a:endParaRPr lang="sv-SE" sz="1200" b="1" i="0" baseline="0">
            <a:solidFill>
              <a:sysClr val="windowText" lastClr="000000"/>
            </a:solidFill>
          </a:endParaRPr>
        </a:p>
        <a:p>
          <a:pPr algn="l"/>
          <a:r>
            <a:rPr lang="sv-SE" sz="1200" b="1" i="0" baseline="0">
              <a:solidFill>
                <a:sysClr val="windowText" lastClr="000000"/>
              </a:solidFill>
            </a:rPr>
            <a:t>Tillgänglig klimatdata för normalårskorrigering</a:t>
          </a:r>
        </a:p>
        <a:p>
          <a:pPr algn="l"/>
          <a:r>
            <a:rPr lang="sv-SE" sz="1200" b="0" i="0" baseline="0">
              <a:solidFill>
                <a:sysClr val="windowText" lastClr="000000"/>
              </a:solidFill>
            </a:rPr>
            <a:t>Verision 1.0 innehåller klimatdata till och med 2021 och normalåret som används är 1981-2010. Klimatdata hämtas från Sveby. För att kunna korrigera ett nyar mätår år så måste den senaste evrisonen användas. Mätdatan uppdateras under Q1 varje år.</a:t>
          </a:r>
        </a:p>
        <a:p>
          <a:pPr algn="l"/>
          <a:endParaRPr lang="sv-SE" sz="1200" b="1" i="0" baseline="0">
            <a:solidFill>
              <a:sysClr val="windowText" lastClr="000000"/>
            </a:solidFill>
          </a:endParaRPr>
        </a:p>
        <a:p>
          <a:pPr algn="l"/>
          <a:r>
            <a:rPr lang="sv-SE" sz="1200" b="1" i="0" baseline="0">
              <a:solidFill>
                <a:sysClr val="windowText" lastClr="000000"/>
              </a:solidFill>
            </a:rPr>
            <a:t>Så här använder du verktyget:</a:t>
          </a:r>
        </a:p>
        <a:p>
          <a:pPr algn="l"/>
          <a:r>
            <a:rPr lang="sv-SE" sz="1200" b="0" i="0" baseline="0">
              <a:solidFill>
                <a:sysClr val="windowText" lastClr="000000"/>
              </a:solidFill>
            </a:rPr>
            <a:t>I fliken "Indata byggnad och BBR krav" specificeras all relevant information om byggnaden som behövs för normalisering av mätvärden och fastställning av energikrav enligt BBR. </a:t>
          </a:r>
        </a:p>
        <a:p>
          <a:pPr algn="l"/>
          <a:endParaRPr lang="sv-SE" sz="1200" b="0" i="0" baseline="0">
            <a:solidFill>
              <a:sysClr val="windowText" lastClr="000000"/>
            </a:solidFill>
          </a:endParaRPr>
        </a:p>
        <a:p>
          <a:pPr algn="l"/>
          <a:r>
            <a:rPr lang="sv-SE" sz="1200" b="0" i="0" baseline="0">
              <a:solidFill>
                <a:sysClr val="windowText" lastClr="000000"/>
              </a:solidFill>
            </a:rPr>
            <a:t>I fliken "Mätvärden" anges uppmätt energi för uppvärmning, tappvarmvatten, komfortkyla, fastighetsenergi och verksamhetsenergi/hushållsenergi för en sammanhängande 12-månadersperiod. Energianvändningen anges separat för varje energibärare. Även uppmätta representativa innetemperaturer under uppvärmningssäsongen skrivs in i fliken "Mätvärden". </a:t>
          </a:r>
        </a:p>
        <a:p>
          <a:pPr algn="l"/>
          <a:endParaRPr lang="sv-SE" sz="1200" b="0" i="0" baseline="0">
            <a:solidFill>
              <a:sysClr val="windowText" lastClr="000000"/>
            </a:solidFill>
          </a:endParaRPr>
        </a:p>
        <a:p>
          <a:pPr algn="l"/>
          <a:r>
            <a:rPr lang="sv-SE" sz="1200" b="0" i="0" baseline="0">
              <a:solidFill>
                <a:sysClr val="windowText" lastClr="000000"/>
              </a:solidFill>
            </a:rPr>
            <a:t>Fliken "Mätvärden referensår" ska bara användas vid certifiering av en befintlig byggnad</a:t>
          </a:r>
          <a:r>
            <a:rPr lang="sv-SE" sz="1200" b="0" i="0" baseline="0">
              <a:solidFill>
                <a:srgbClr val="FF0000"/>
              </a:solidFill>
            </a:rPr>
            <a:t> </a:t>
          </a:r>
          <a:r>
            <a:rPr lang="sv-SE" sz="1200" b="0" i="0" baseline="0">
              <a:solidFill>
                <a:sysClr val="windowText" lastClr="000000"/>
              </a:solidFill>
            </a:rPr>
            <a:t>Kriterium 6. I fliken anges uppmätt energi för uppvärmning, tappvarmvatten, komfortkyla, fastighetsenergi och verksamhetsenergi/hushållsenergi under referensåret. Energianvändningen anges separat för varje energibärare. </a:t>
          </a:r>
        </a:p>
        <a:p>
          <a:pPr algn="l"/>
          <a:endParaRPr lang="sv-SE" sz="1200" b="0" i="0" baseline="0">
            <a:solidFill>
              <a:sysClr val="windowText" lastClr="000000"/>
            </a:solidFill>
          </a:endParaRPr>
        </a:p>
        <a:p>
          <a:pPr algn="l"/>
          <a:r>
            <a:rPr lang="sv-SE" sz="1200" b="0" i="0" baseline="0">
              <a:solidFill>
                <a:sysClr val="windowText" lastClr="000000"/>
              </a:solidFill>
            </a:rPr>
            <a:t>Under fliken "Resultat" visas beräknad uppmätt energianvändning (BBR energi), normaliserad energianvändning och beräknat primärenergital enligt BBR25 eller BBR29. Resultatet används för bedömning av om byggnaden uppfyller Kriterium 6  i GreenBuildings certifiering 8.0 för nya byggnader eller Kriterium 6 alternativt Kriterium 7 för befintliga byggnader. Även byggnadens klimatpåverkan av energianvändningen redovisas för information. </a:t>
          </a:r>
        </a:p>
        <a:p>
          <a:pPr algn="l"/>
          <a:endParaRPr lang="sv-SE" sz="1200" b="0" i="0" baseline="0">
            <a:solidFill>
              <a:sysClr val="windowText" lastClr="000000"/>
            </a:solidFill>
          </a:endParaRPr>
        </a:p>
        <a:p>
          <a:pPr algn="l"/>
          <a:r>
            <a:rPr lang="sv-SE" sz="1200" b="0" i="0" baseline="0">
              <a:solidFill>
                <a:sysClr val="windowText" lastClr="000000"/>
              </a:solidFill>
            </a:rPr>
            <a:t>Fliken "Valbara orter" visa en mer överskådig lista över tillgänliga klimatorter för normalårskorrigering. Klimatort anges på fliken "Indata byggnad och BBR krav" .</a:t>
          </a:r>
        </a:p>
        <a:p>
          <a:pPr algn="l"/>
          <a:endParaRPr lang="sv-SE" sz="1200" b="0" i="1" baseline="0">
            <a:solidFill>
              <a:sysClr val="windowText" lastClr="000000"/>
            </a:solidFill>
          </a:endParaRPr>
        </a:p>
        <a:p>
          <a:pPr algn="l"/>
          <a:r>
            <a:rPr lang="sv-SE" sz="1200" b="0" baseline="0">
              <a:solidFill>
                <a:sysClr val="windowText" lastClr="000000"/>
              </a:solidFill>
            </a:rPr>
            <a:t> </a:t>
          </a:r>
          <a:endParaRPr lang="sv-SE" sz="1200" b="0" baseline="0">
            <a:solidFill>
              <a:schemeClr val="tx1"/>
            </a:solidFill>
            <a:latin typeface="+mn-lt"/>
            <a:ea typeface="+mn-ea"/>
            <a:cs typeface="+mn-cs"/>
          </a:endParaRPr>
        </a:p>
      </xdr:txBody>
    </xdr:sp>
    <xdr:clientData/>
  </xdr:twoCellAnchor>
  <xdr:twoCellAnchor editAs="oneCell">
    <xdr:from>
      <xdr:col>0</xdr:col>
      <xdr:colOff>416718</xdr:colOff>
      <xdr:row>0</xdr:row>
      <xdr:rowOff>119062</xdr:rowOff>
    </xdr:from>
    <xdr:to>
      <xdr:col>3</xdr:col>
      <xdr:colOff>11906</xdr:colOff>
      <xdr:row>1</xdr:row>
      <xdr:rowOff>1327859</xdr:rowOff>
    </xdr:to>
    <xdr:pic>
      <xdr:nvPicPr>
        <xdr:cNvPr id="7" name="Bildobjekt 6">
          <a:extLst>
            <a:ext uri="{FF2B5EF4-FFF2-40B4-BE49-F238E27FC236}">
              <a16:creationId xmlns:a16="http://schemas.microsoft.com/office/drawing/2014/main" id="{AD875FDA-B955-4D9C-BA91-DFBFB1E4524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416718" y="119062"/>
          <a:ext cx="1416844" cy="13992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285750</xdr:colOff>
      <xdr:row>2</xdr:row>
      <xdr:rowOff>84669</xdr:rowOff>
    </xdr:from>
    <xdr:to>
      <xdr:col>5</xdr:col>
      <xdr:colOff>95250</xdr:colOff>
      <xdr:row>6</xdr:row>
      <xdr:rowOff>169334</xdr:rowOff>
    </xdr:to>
    <xdr:sp macro="" textlink="">
      <xdr:nvSpPr>
        <xdr:cNvPr id="3" name="Rektangel 15">
          <a:extLst>
            <a:ext uri="{FF2B5EF4-FFF2-40B4-BE49-F238E27FC236}">
              <a16:creationId xmlns:a16="http://schemas.microsoft.com/office/drawing/2014/main" id="{9827181B-9B78-444F-9292-0BB96CADA170}"/>
            </a:ext>
          </a:extLst>
        </xdr:cNvPr>
        <xdr:cNvSpPr/>
      </xdr:nvSpPr>
      <xdr:spPr>
        <a:xfrm>
          <a:off x="1513417" y="518586"/>
          <a:ext cx="3048000" cy="846665"/>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sv-SE" sz="1200" b="0" baseline="0">
              <a:solidFill>
                <a:schemeClr val="tx1"/>
              </a:solidFill>
              <a:latin typeface="+mn-lt"/>
              <a:ea typeface="+mn-ea"/>
              <a:cs typeface="+mn-cs"/>
            </a:rPr>
            <a:t>Om din ort saknas välj en annan ort i:</a:t>
          </a:r>
        </a:p>
        <a:p>
          <a:pPr marL="0" marR="0" lvl="0" indent="0" algn="l" defTabSz="914400" eaLnBrk="1" fontAlgn="auto" latinLnBrk="0" hangingPunct="1">
            <a:lnSpc>
              <a:spcPct val="100000"/>
            </a:lnSpc>
            <a:spcBef>
              <a:spcPts val="0"/>
            </a:spcBef>
            <a:spcAft>
              <a:spcPts val="0"/>
            </a:spcAft>
            <a:buClrTx/>
            <a:buSzTx/>
            <a:buFontTx/>
            <a:buNone/>
            <a:tabLst/>
            <a:defRPr/>
          </a:pPr>
          <a:r>
            <a:rPr lang="sv-SE" sz="1200" b="0" baseline="0">
              <a:solidFill>
                <a:schemeClr val="tx1"/>
              </a:solidFill>
              <a:latin typeface="+mn-lt"/>
              <a:ea typeface="+mn-ea"/>
              <a:cs typeface="+mn-cs"/>
            </a:rPr>
            <a:t>1) Samma kommun</a:t>
          </a:r>
        </a:p>
        <a:p>
          <a:pPr marL="0" marR="0" lvl="0" indent="0" algn="l" defTabSz="914400" eaLnBrk="1" fontAlgn="auto" latinLnBrk="0" hangingPunct="1">
            <a:lnSpc>
              <a:spcPct val="100000"/>
            </a:lnSpc>
            <a:spcBef>
              <a:spcPts val="0"/>
            </a:spcBef>
            <a:spcAft>
              <a:spcPts val="0"/>
            </a:spcAft>
            <a:buClrTx/>
            <a:buSzTx/>
            <a:buFontTx/>
            <a:buNone/>
            <a:tabLst/>
            <a:defRPr/>
          </a:pPr>
          <a:r>
            <a:rPr lang="sv-SE" sz="1200" b="0" baseline="0">
              <a:solidFill>
                <a:schemeClr val="tx1"/>
              </a:solidFill>
              <a:latin typeface="+mn-lt"/>
              <a:ea typeface="+mn-ea"/>
              <a:cs typeface="+mn-cs"/>
            </a:rPr>
            <a:t>alt.</a:t>
          </a:r>
        </a:p>
        <a:p>
          <a:pPr marL="0" marR="0" lvl="0" indent="0" algn="l" defTabSz="914400" eaLnBrk="1" fontAlgn="auto" latinLnBrk="0" hangingPunct="1">
            <a:lnSpc>
              <a:spcPct val="100000"/>
            </a:lnSpc>
            <a:spcBef>
              <a:spcPts val="0"/>
            </a:spcBef>
            <a:spcAft>
              <a:spcPts val="0"/>
            </a:spcAft>
            <a:buClrTx/>
            <a:buSzTx/>
            <a:buFontTx/>
            <a:buNone/>
            <a:tabLst/>
            <a:defRPr/>
          </a:pPr>
          <a:r>
            <a:rPr lang="sv-SE" sz="1200" b="0" baseline="0">
              <a:solidFill>
                <a:schemeClr val="tx1"/>
              </a:solidFill>
              <a:latin typeface="+mn-lt"/>
              <a:ea typeface="+mn-ea"/>
              <a:cs typeface="+mn-cs"/>
            </a:rPr>
            <a:t>2) Angränsande kommun</a:t>
          </a:r>
          <a:endParaRPr lang="sv-SE" sz="1200" b="1" baseline="0">
            <a:solidFill>
              <a:schemeClr val="accent5"/>
            </a:solidFill>
            <a:latin typeface="+mn-lt"/>
            <a:ea typeface="+mn-ea"/>
            <a:cs typeface="+mn-cs"/>
          </a:endParaRPr>
        </a:p>
        <a:p>
          <a:pPr marL="0" indent="0" algn="l"/>
          <a:endParaRPr lang="sv-SE" sz="1100" b="0" baseline="0">
            <a:solidFill>
              <a:sysClr val="windowText" lastClr="00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sv-SE" sz="1100">
            <a:solidFill>
              <a:schemeClr val="tx1"/>
            </a:solidFill>
            <a:effectLst/>
            <a:latin typeface="+mn-lt"/>
            <a:ea typeface="+mn-ea"/>
            <a:cs typeface="+mn-cs"/>
          </a:endParaRPr>
        </a:p>
        <a:p>
          <a:pPr marL="0" indent="0" algn="l"/>
          <a:endParaRPr lang="sv-SE" sz="1100" b="0" baseline="0">
            <a:solidFill>
              <a:sysClr val="windowText" lastClr="000000"/>
            </a:solidFill>
            <a:latin typeface="+mn-lt"/>
            <a:ea typeface="+mn-ea"/>
            <a:cs typeface="+mn-cs"/>
          </a:endParaRPr>
        </a:p>
        <a:p>
          <a:pPr marL="0" indent="0" algn="l"/>
          <a:endParaRPr lang="sv-SE" sz="1100" b="0" baseline="0">
            <a:solidFill>
              <a:sysClr val="windowText" lastClr="000000"/>
            </a:solidFill>
            <a:latin typeface="+mn-lt"/>
            <a:ea typeface="+mn-ea"/>
            <a:cs typeface="+mn-cs"/>
          </a:endParaRPr>
        </a:p>
        <a:p>
          <a:pPr marL="0" indent="0" algn="l"/>
          <a:endParaRPr lang="sv-SE" sz="1100" b="0" baseline="0">
            <a:solidFill>
              <a:sysClr val="windowText" lastClr="000000"/>
            </a:solidFill>
            <a:latin typeface="+mn-lt"/>
            <a:ea typeface="+mn-ea"/>
            <a:cs typeface="+mn-cs"/>
          </a:endParaRPr>
        </a:p>
        <a:p>
          <a:pPr marL="0" indent="0" algn="l"/>
          <a:endParaRPr lang="sv-SE" sz="1100" b="0" baseline="0">
            <a:solidFill>
              <a:sysClr val="windowText" lastClr="000000"/>
            </a:solidFill>
            <a:latin typeface="+mn-lt"/>
            <a:ea typeface="+mn-ea"/>
            <a:cs typeface="+mn-cs"/>
          </a:endParaRPr>
        </a:p>
        <a:p>
          <a:pPr marL="0" indent="0" algn="l"/>
          <a:endParaRPr lang="sv-SE" sz="1100" b="0" baseline="0">
            <a:solidFill>
              <a:sysClr val="windowText" lastClr="000000"/>
            </a:solidFill>
            <a:latin typeface="+mn-lt"/>
            <a:ea typeface="+mn-ea"/>
            <a:cs typeface="+mn-cs"/>
          </a:endParaRPr>
        </a:p>
        <a:p>
          <a:pPr marL="0" indent="0" algn="l"/>
          <a:endParaRPr lang="sv-SE" sz="1100" b="0" baseline="0">
            <a:solidFill>
              <a:schemeClr val="tx1"/>
            </a:solidFill>
            <a:effectLst/>
            <a:latin typeface="+mn-lt"/>
            <a:ea typeface="+mn-ea"/>
            <a:cs typeface="+mn-cs"/>
          </a:endParaRPr>
        </a:p>
      </xdr:txBody>
    </xdr:sp>
    <xdr:clientData/>
  </xdr:twoCellAnchor>
  <xdr:twoCellAnchor editAs="oneCell">
    <xdr:from>
      <xdr:col>0</xdr:col>
      <xdr:colOff>126998</xdr:colOff>
      <xdr:row>0</xdr:row>
      <xdr:rowOff>169335</xdr:rowOff>
    </xdr:from>
    <xdr:to>
      <xdr:col>2</xdr:col>
      <xdr:colOff>137582</xdr:colOff>
      <xdr:row>7</xdr:row>
      <xdr:rowOff>5834</xdr:rowOff>
    </xdr:to>
    <xdr:pic>
      <xdr:nvPicPr>
        <xdr:cNvPr id="2" name="Bildobjekt 1">
          <a:extLst>
            <a:ext uri="{FF2B5EF4-FFF2-40B4-BE49-F238E27FC236}">
              <a16:creationId xmlns:a16="http://schemas.microsoft.com/office/drawing/2014/main" id="{2AC415C4-FF8B-4554-9146-FB1397CAC3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6998" y="169335"/>
          <a:ext cx="1238251" cy="12229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314322</xdr:colOff>
      <xdr:row>0</xdr:row>
      <xdr:rowOff>244214</xdr:rowOff>
    </xdr:from>
    <xdr:to>
      <xdr:col>5</xdr:col>
      <xdr:colOff>3968751</xdr:colOff>
      <xdr:row>3</xdr:row>
      <xdr:rowOff>222250</xdr:rowOff>
    </xdr:to>
    <xdr:sp macro="" textlink="">
      <xdr:nvSpPr>
        <xdr:cNvPr id="11" name="Rektangel 15">
          <a:extLst>
            <a:ext uri="{FF2B5EF4-FFF2-40B4-BE49-F238E27FC236}">
              <a16:creationId xmlns:a16="http://schemas.microsoft.com/office/drawing/2014/main" id="{FE963842-6CFB-48AB-85D3-B088001B9FC8}"/>
            </a:ext>
          </a:extLst>
        </xdr:cNvPr>
        <xdr:cNvSpPr/>
      </xdr:nvSpPr>
      <xdr:spPr>
        <a:xfrm>
          <a:off x="6198655" y="244214"/>
          <a:ext cx="7993596" cy="1650203"/>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sv-SE" sz="1200" b="0" baseline="0">
              <a:solidFill>
                <a:schemeClr val="tx1"/>
              </a:solidFill>
              <a:latin typeface="+mn-lt"/>
              <a:ea typeface="+mn-ea"/>
              <a:cs typeface="+mn-cs"/>
            </a:rPr>
            <a:t>I denna flik specificeras allmänn information om byggnaden, BBR version som gäller för projektet och krav på  energiprestanda som ska gälla för den specifika byggnaden inkl. luftflödestillägg </a:t>
          </a:r>
          <a:r>
            <a:rPr lang="sv-SE" sz="1200" b="0" baseline="0">
              <a:solidFill>
                <a:schemeClr val="tx1"/>
              </a:solidFill>
              <a:effectLst/>
              <a:latin typeface="+mn-lt"/>
              <a:ea typeface="+mn-ea"/>
              <a:cs typeface="+mn-cs"/>
            </a:rPr>
            <a:t>(</a:t>
          </a:r>
          <a:r>
            <a:rPr lang="sv-SE" sz="1200" b="0" i="1" baseline="0">
              <a:solidFill>
                <a:schemeClr val="tx1"/>
              </a:solidFill>
              <a:effectLst/>
              <a:latin typeface="+mn-lt"/>
              <a:ea typeface="+mn-ea"/>
              <a:cs typeface="+mn-cs"/>
            </a:rPr>
            <a:t>energiprestandakrav ska redovisas bara för ny byggnad och för befintlig byggnad för Alternativ 2, dvs. Kriterium 7</a:t>
          </a:r>
          <a:r>
            <a:rPr lang="sv-SE" sz="1200" b="0" baseline="0">
              <a:solidFill>
                <a:schemeClr val="tx1"/>
              </a:solidFill>
              <a:effectLst/>
              <a:latin typeface="+mn-lt"/>
              <a:ea typeface="+mn-ea"/>
              <a:cs typeface="+mn-cs"/>
            </a:rPr>
            <a:t>). </a:t>
          </a:r>
          <a:r>
            <a:rPr lang="sv-SE" sz="1200" b="0" baseline="0">
              <a:solidFill>
                <a:schemeClr val="tx1"/>
              </a:solidFill>
              <a:latin typeface="+mn-lt"/>
              <a:ea typeface="+mn-ea"/>
              <a:cs typeface="+mn-cs"/>
            </a:rPr>
            <a:t>Beräkningsunderlag, där det tydligt framgår hur ventilationstillägget har beräknats, ska redovisas i separat dokument som ska bifogas i ansökan. </a:t>
          </a:r>
          <a:r>
            <a:rPr lang="sv-SE" sz="1200" b="0" baseline="0">
              <a:solidFill>
                <a:schemeClr val="tx1"/>
              </a:solidFill>
              <a:effectLst/>
              <a:latin typeface="+mn-lt"/>
              <a:ea typeface="+mn-ea"/>
              <a:cs typeface="+mn-cs"/>
            </a:rPr>
            <a:t>Indata för beräkning av miljöpåverkan av energianvändningen ska också specificeras i denna flik.</a:t>
          </a:r>
          <a:endParaRPr lang="sv-SE" sz="1200" b="0" baseline="0">
            <a:solidFill>
              <a:schemeClr val="tx1"/>
            </a:solidFill>
            <a:latin typeface="+mn-lt"/>
            <a:ea typeface="+mn-ea"/>
            <a:cs typeface="+mn-cs"/>
          </a:endParaRPr>
        </a:p>
        <a:p>
          <a:pPr marL="0" indent="0" algn="l"/>
          <a:endParaRPr lang="sv-SE" sz="1200" b="0" baseline="0">
            <a:solidFill>
              <a:sysClr val="windowText" lastClr="000000"/>
            </a:solidFill>
            <a:latin typeface="+mn-lt"/>
            <a:ea typeface="+mn-ea"/>
            <a:cs typeface="+mn-cs"/>
          </a:endParaRPr>
        </a:p>
        <a:p>
          <a:pPr marL="0" indent="0" algn="l"/>
          <a:r>
            <a:rPr lang="sv-SE" sz="1200" b="1" baseline="0">
              <a:solidFill>
                <a:schemeClr val="accent5"/>
              </a:solidFill>
              <a:latin typeface="+mn-lt"/>
              <a:ea typeface="+mn-ea"/>
              <a:cs typeface="+mn-cs"/>
            </a:rPr>
            <a:t>OBS! Endast gröna celler fylls i. Gråa celler beräknas eller länkas automatiskt. Hjälptexter finns i kommentarsrutor vid vita rutor där indata matas in. </a:t>
          </a:r>
        </a:p>
        <a:p>
          <a:pPr marL="0" indent="0" algn="l"/>
          <a:endParaRPr lang="sv-SE" sz="1100" b="0" baseline="0">
            <a:solidFill>
              <a:sysClr val="windowText" lastClr="00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sv-SE" sz="1100">
            <a:solidFill>
              <a:schemeClr val="tx1"/>
            </a:solidFill>
            <a:effectLst/>
            <a:latin typeface="+mn-lt"/>
            <a:ea typeface="+mn-ea"/>
            <a:cs typeface="+mn-cs"/>
          </a:endParaRPr>
        </a:p>
        <a:p>
          <a:pPr marL="0" indent="0" algn="l"/>
          <a:endParaRPr lang="sv-SE" sz="1100" b="0" baseline="0">
            <a:solidFill>
              <a:sysClr val="windowText" lastClr="000000"/>
            </a:solidFill>
            <a:latin typeface="+mn-lt"/>
            <a:ea typeface="+mn-ea"/>
            <a:cs typeface="+mn-cs"/>
          </a:endParaRPr>
        </a:p>
        <a:p>
          <a:pPr marL="0" indent="0" algn="l"/>
          <a:endParaRPr lang="sv-SE" sz="1100" b="0" baseline="0">
            <a:solidFill>
              <a:sysClr val="windowText" lastClr="000000"/>
            </a:solidFill>
            <a:latin typeface="+mn-lt"/>
            <a:ea typeface="+mn-ea"/>
            <a:cs typeface="+mn-cs"/>
          </a:endParaRPr>
        </a:p>
        <a:p>
          <a:pPr marL="0" indent="0" algn="l"/>
          <a:endParaRPr lang="sv-SE" sz="1100" b="0" baseline="0">
            <a:solidFill>
              <a:sysClr val="windowText" lastClr="000000"/>
            </a:solidFill>
            <a:latin typeface="+mn-lt"/>
            <a:ea typeface="+mn-ea"/>
            <a:cs typeface="+mn-cs"/>
          </a:endParaRPr>
        </a:p>
        <a:p>
          <a:pPr marL="0" indent="0" algn="l"/>
          <a:endParaRPr lang="sv-SE" sz="1100" b="0" baseline="0">
            <a:solidFill>
              <a:sysClr val="windowText" lastClr="000000"/>
            </a:solidFill>
            <a:latin typeface="+mn-lt"/>
            <a:ea typeface="+mn-ea"/>
            <a:cs typeface="+mn-cs"/>
          </a:endParaRPr>
        </a:p>
        <a:p>
          <a:pPr marL="0" indent="0" algn="l"/>
          <a:endParaRPr lang="sv-SE" sz="1100" b="0" baseline="0">
            <a:solidFill>
              <a:sysClr val="windowText" lastClr="000000"/>
            </a:solidFill>
            <a:latin typeface="+mn-lt"/>
            <a:ea typeface="+mn-ea"/>
            <a:cs typeface="+mn-cs"/>
          </a:endParaRPr>
        </a:p>
        <a:p>
          <a:pPr marL="0" indent="0" algn="l"/>
          <a:endParaRPr lang="sv-SE" sz="1100" b="0" baseline="0">
            <a:solidFill>
              <a:schemeClr val="tx1"/>
            </a:solidFill>
            <a:effectLst/>
            <a:latin typeface="+mn-lt"/>
            <a:ea typeface="+mn-ea"/>
            <a:cs typeface="+mn-cs"/>
          </a:endParaRPr>
        </a:p>
        <a:p>
          <a:pPr marL="0" indent="0" algn="l"/>
          <a:endParaRPr lang="sv-SE" sz="1100" b="0" baseline="0">
            <a:solidFill>
              <a:schemeClr val="tx1"/>
            </a:solidFill>
            <a:latin typeface="+mn-lt"/>
            <a:ea typeface="+mn-ea"/>
            <a:cs typeface="+mn-cs"/>
          </a:endParaRPr>
        </a:p>
      </xdr:txBody>
    </xdr:sp>
    <xdr:clientData/>
  </xdr:twoCellAnchor>
  <xdr:twoCellAnchor editAs="oneCell">
    <xdr:from>
      <xdr:col>1</xdr:col>
      <xdr:colOff>0</xdr:colOff>
      <xdr:row>0</xdr:row>
      <xdr:rowOff>0</xdr:rowOff>
    </xdr:from>
    <xdr:to>
      <xdr:col>1</xdr:col>
      <xdr:colOff>1238251</xdr:colOff>
      <xdr:row>2</xdr:row>
      <xdr:rowOff>460916</xdr:rowOff>
    </xdr:to>
    <xdr:pic>
      <xdr:nvPicPr>
        <xdr:cNvPr id="3" name="Bildobjekt 2">
          <a:extLst>
            <a:ext uri="{FF2B5EF4-FFF2-40B4-BE49-F238E27FC236}">
              <a16:creationId xmlns:a16="http://schemas.microsoft.com/office/drawing/2014/main" id="{B202C529-63D0-4050-AA68-F54F9C3D651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14313" y="0"/>
          <a:ext cx="1238251" cy="12229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xdr:colOff>
      <xdr:row>19</xdr:row>
      <xdr:rowOff>152401</xdr:rowOff>
    </xdr:from>
    <xdr:to>
      <xdr:col>4</xdr:col>
      <xdr:colOff>2</xdr:colOff>
      <xdr:row>32</xdr:row>
      <xdr:rowOff>31750</xdr:rowOff>
    </xdr:to>
    <xdr:sp macro="" textlink="">
      <xdr:nvSpPr>
        <xdr:cNvPr id="8" name="Rektangel 15">
          <a:extLst>
            <a:ext uri="{FF2B5EF4-FFF2-40B4-BE49-F238E27FC236}">
              <a16:creationId xmlns:a16="http://schemas.microsoft.com/office/drawing/2014/main" id="{EFF0E5F2-F207-4131-8354-43B67E01E928}"/>
            </a:ext>
          </a:extLst>
        </xdr:cNvPr>
        <xdr:cNvSpPr/>
      </xdr:nvSpPr>
      <xdr:spPr>
        <a:xfrm>
          <a:off x="455084" y="4597401"/>
          <a:ext cx="6688668" cy="2631016"/>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energianvändning för uppvärmning</a:t>
          </a:r>
        </a:p>
        <a:p>
          <a:pPr algn="l"/>
          <a:r>
            <a:rPr lang="sv-SE" sz="1100" b="0">
              <a:solidFill>
                <a:sysClr val="windowText" lastClr="000000"/>
              </a:solidFill>
            </a:rPr>
            <a:t>Ange uppmätt energianvändning för uppvärmning separat för </a:t>
          </a:r>
          <a:r>
            <a:rPr lang="sv-SE" sz="1100" b="0" baseline="0">
              <a:solidFill>
                <a:sysClr val="windowText" lastClr="000000"/>
              </a:solidFill>
            </a:rPr>
            <a:t>respektive energibärare (värmekälla). Värden kan anges för upp till 3 olika värmekällor (värmeproduktionssystem). Antal och typ av värmekällor väljs i rullgardinsmenyer ovan. Mätvärdena skall bara motsvara den energi som används för uppvärmning av byggnaden, dvs. exklusive tappvattenvärmning.  Inmatade mätvärden för uppvärmning ska också exkludera elgolvvärme i badrum och återvunnen processenergi i byggnaden. Dessa energiposter ska mätas separat och redovisas i separata tabeller nedan. </a:t>
          </a:r>
        </a:p>
        <a:p>
          <a:pPr algn="l"/>
          <a:endParaRPr lang="sv-SE" sz="1100" b="0" baseline="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100" b="0" baseline="0">
              <a:solidFill>
                <a:sysClr val="windowText" lastClr="000000"/>
              </a:solidFill>
            </a:rPr>
            <a:t>Beroende på mätarnas placering mäter de antigen hur mycket energi som levereras till byggnaden så kallad köpt energi eller hur mycket energi som produceras av energiproduktionssystemet. Detta ska anges under "Mätpunkt för mätning" genom val i rullgardinsmenyn. Även årsverkningsgrad för produktion av energi ska anges för vissa energiposter. Informationen används för beräkning av levererad energi om mätdata anges som producerad energi och för normalisering av energianvändningen. Om det inte går att få fram uppgifter om årsverkningsgraden kan schablonvärden användas som baseras på tabell 3:2 i Boverkets föreskrifter BFS 2017:6 BEN 2. </a:t>
          </a:r>
        </a:p>
        <a:p>
          <a:pPr algn="l"/>
          <a:endParaRPr lang="sv-SE" sz="1200" b="1">
            <a:solidFill>
              <a:sysClr val="windowText" lastClr="000000"/>
            </a:solidFill>
          </a:endParaRPr>
        </a:p>
      </xdr:txBody>
    </xdr:sp>
    <xdr:clientData/>
  </xdr:twoCellAnchor>
  <xdr:twoCellAnchor>
    <xdr:from>
      <xdr:col>2</xdr:col>
      <xdr:colOff>23813</xdr:colOff>
      <xdr:row>47</xdr:row>
      <xdr:rowOff>132290</xdr:rowOff>
    </xdr:from>
    <xdr:to>
      <xdr:col>4</xdr:col>
      <xdr:colOff>1</xdr:colOff>
      <xdr:row>65</xdr:row>
      <xdr:rowOff>35718</xdr:rowOff>
    </xdr:to>
    <xdr:sp macro="" textlink="">
      <xdr:nvSpPr>
        <xdr:cNvPr id="9" name="Rektangel 15">
          <a:extLst>
            <a:ext uri="{FF2B5EF4-FFF2-40B4-BE49-F238E27FC236}">
              <a16:creationId xmlns:a16="http://schemas.microsoft.com/office/drawing/2014/main" id="{692FD48A-7400-487B-A285-F6B5EEB387DE}"/>
            </a:ext>
          </a:extLst>
        </xdr:cNvPr>
        <xdr:cNvSpPr/>
      </xdr:nvSpPr>
      <xdr:spPr>
        <a:xfrm>
          <a:off x="488157" y="12479071"/>
          <a:ext cx="6667500" cy="3808678"/>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energianvändning för tappvarmvatten</a:t>
          </a:r>
        </a:p>
        <a:p>
          <a:pPr algn="l"/>
          <a:r>
            <a:rPr lang="sv-SE" sz="1100" b="0">
              <a:solidFill>
                <a:sysClr val="windowText" lastClr="000000"/>
              </a:solidFill>
            </a:rPr>
            <a:t>Ange uppmätt energianvändning för tappvarmvatten separat för respektive energibärare (värmekälla). Värden kan anges för upp till 3 olika värmekällor (värmeproduktionssystem). Antal och typ av värmekällor väljs i rullgardinsmenyer ovan. </a:t>
          </a:r>
        </a:p>
        <a:p>
          <a:pPr algn="l"/>
          <a:endParaRPr lang="sv-SE" sz="1100" b="0">
            <a:solidFill>
              <a:sysClr val="windowText" lastClr="000000"/>
            </a:solidFill>
          </a:endParaRPr>
        </a:p>
        <a:p>
          <a:pPr algn="l"/>
          <a:r>
            <a:rPr lang="sv-SE" sz="1100" b="0">
              <a:solidFill>
                <a:sysClr val="windowText" lastClr="000000"/>
              </a:solidFill>
            </a:rPr>
            <a:t>Beroende på mätarnas placering mäter de antigen hur mycket energi som produceras, eller levereras till värmekällan (så kallad köpt energi). Detta ska anges under "Mätpunkt för mätning" genom val i rullgardinsmenyn. Även årsverkningsgrad för produktion av tappvarmvatten ska specificeras. Informationen används för automatisk beräkning levererad energi från producerad energi och för normalisering av energianvändningen. Om det inte går att få fram uppgifter om årsverkningsgraden kan värden enligt tabell 3:2 i Boverkets föreskrifter BFS 2017:6 BEN 2 användas</a:t>
          </a:r>
        </a:p>
        <a:p>
          <a:pPr algn="l"/>
          <a:endParaRPr lang="sv-SE" sz="1100" b="0">
            <a:solidFill>
              <a:sysClr val="windowText" lastClr="000000"/>
            </a:solidFill>
          </a:endParaRPr>
        </a:p>
        <a:p>
          <a:pPr algn="l"/>
          <a:r>
            <a:rPr lang="sv-SE" sz="1100" b="0">
              <a:solidFill>
                <a:sysClr val="windowText" lastClr="000000"/>
              </a:solidFill>
            </a:rPr>
            <a:t>Förluster för varmvattencirkulation (VVC) ska kunna mätas separat. Dock är det inte ovanligt att de inkluderas i energin för tappvarmvatten eller energin för uppvärmning. Detta skall i så fall specificeras under "Mätning av VVC förluster" ovan. Om VVC-förluster mäts separat ska tabeller för förluster för varmvattencirkulation (VVC-förluster) fyllas i för att detta ska kunna tas hänsyn till vid normalårskorrigering.</a:t>
          </a:r>
        </a:p>
        <a:p>
          <a:pPr algn="l"/>
          <a:endParaRPr lang="sv-SE" sz="11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100" b="0">
              <a:solidFill>
                <a:sysClr val="windowText" lastClr="000000"/>
              </a:solidFill>
            </a:rPr>
            <a:t>OBS!</a:t>
          </a:r>
          <a:r>
            <a:rPr lang="sv-SE" sz="1100" b="0" baseline="0">
              <a:solidFill>
                <a:sysClr val="windowText" lastClr="000000"/>
              </a:solidFill>
            </a:rPr>
            <a:t> I</a:t>
          </a:r>
          <a:r>
            <a:rPr lang="sv-SE" sz="1100" b="0">
              <a:solidFill>
                <a:sysClr val="windowText" lastClr="000000"/>
              </a:solidFill>
            </a:rPr>
            <a:t> befintliga</a:t>
          </a:r>
          <a:r>
            <a:rPr lang="sv-SE" sz="1100" b="0" baseline="0">
              <a:solidFill>
                <a:sysClr val="windowText" lastClr="000000"/>
              </a:solidFill>
            </a:rPr>
            <a:t> byggnader kan energi för tappvattenvärmning </a:t>
          </a:r>
          <a:r>
            <a:rPr lang="sv-SE" sz="1100" b="0">
              <a:solidFill>
                <a:sysClr val="windowText" lastClr="000000"/>
              </a:solidFill>
            </a:rPr>
            <a:t>baseras på uppmätt tappvarmvattenvolym alternativt kallvattenvolym, om det inte går att installera energimätare för tappvarmvatten. Energianvändningen ska</a:t>
          </a:r>
          <a:r>
            <a:rPr lang="sv-SE" sz="1100" b="0" baseline="0">
              <a:solidFill>
                <a:sysClr val="windowText" lastClr="000000"/>
              </a:solidFill>
            </a:rPr>
            <a:t> beräknas med hjälp av ekvationen enligt Boverkets föreskrifter BFS 2017:6 BEN 2. Resultatet matas in i tabellen. </a:t>
          </a:r>
          <a:endParaRPr lang="sv-SE" sz="1200" b="1">
            <a:solidFill>
              <a:sysClr val="windowText" lastClr="000000"/>
            </a:solidFill>
          </a:endParaRPr>
        </a:p>
      </xdr:txBody>
    </xdr:sp>
    <xdr:clientData/>
  </xdr:twoCellAnchor>
  <xdr:twoCellAnchor>
    <xdr:from>
      <xdr:col>1</xdr:col>
      <xdr:colOff>211932</xdr:colOff>
      <xdr:row>86</xdr:row>
      <xdr:rowOff>11904</xdr:rowOff>
    </xdr:from>
    <xdr:to>
      <xdr:col>4</xdr:col>
      <xdr:colOff>11907</xdr:colOff>
      <xdr:row>93</xdr:row>
      <xdr:rowOff>171979</xdr:rowOff>
    </xdr:to>
    <xdr:sp macro="" textlink="">
      <xdr:nvSpPr>
        <xdr:cNvPr id="11" name="Rektangel 15">
          <a:extLst>
            <a:ext uri="{FF2B5EF4-FFF2-40B4-BE49-F238E27FC236}">
              <a16:creationId xmlns:a16="http://schemas.microsoft.com/office/drawing/2014/main" id="{E65E8F2B-5776-4996-B299-803ECA279B02}"/>
            </a:ext>
          </a:extLst>
        </xdr:cNvPr>
        <xdr:cNvSpPr/>
      </xdr:nvSpPr>
      <xdr:spPr>
        <a:xfrm>
          <a:off x="461963" y="20764498"/>
          <a:ext cx="6705600" cy="1660262"/>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energianvändning för komfortkyla</a:t>
          </a:r>
        </a:p>
        <a:p>
          <a:pPr algn="l"/>
          <a:r>
            <a:rPr lang="sv-SE" sz="1100" b="0">
              <a:solidFill>
                <a:sysClr val="windowText" lastClr="000000"/>
              </a:solidFill>
            </a:rPr>
            <a:t>Ange uppmätt energianvändning för komfortkyla exkl processkyla/verksamhetskyla. Mätvärden</a:t>
          </a:r>
          <a:r>
            <a:rPr lang="sv-SE" sz="1100" b="0" baseline="0">
              <a:solidFill>
                <a:sysClr val="windowText" lastClr="000000"/>
              </a:solidFill>
            </a:rPr>
            <a:t> </a:t>
          </a:r>
          <a:r>
            <a:rPr lang="sv-SE" sz="1100" b="0">
              <a:solidFill>
                <a:sysClr val="windowText" lastClr="000000"/>
              </a:solidFill>
            </a:rPr>
            <a:t>fördelas separat för respektive energibärare som levererar kyla till byggnaden. Antal och typ av kylproduktionssystem väljs</a:t>
          </a:r>
          <a:r>
            <a:rPr lang="sv-SE" sz="1100" b="0" baseline="0">
              <a:solidFill>
                <a:sysClr val="windowText" lastClr="000000"/>
              </a:solidFill>
            </a:rPr>
            <a:t> i rullgardinsmenyer ovan. </a:t>
          </a:r>
        </a:p>
        <a:p>
          <a:pPr algn="l"/>
          <a:endParaRPr lang="sv-SE" sz="1100" b="0" baseline="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100" b="0" baseline="0">
              <a:solidFill>
                <a:sysClr val="windowText" lastClr="000000"/>
              </a:solidFill>
            </a:rPr>
            <a:t>Beroende på mätarnas placering mäter de antigen hur mycket energi som produceras, eller hur mycket som levereras (så kallad köpt energi). Detta ska anges med hjälp av rullgardinsmenyn under "Mätpunkt för mätning" . Även årsverkningsgraden för produktion av komfortkyla ska anges om mätvärdena avser producerad energi. </a:t>
          </a:r>
        </a:p>
        <a:p>
          <a:pPr marL="0" marR="0" lvl="0" indent="0" algn="l" defTabSz="914400" eaLnBrk="1" fontAlgn="auto" latinLnBrk="0" hangingPunct="1">
            <a:lnSpc>
              <a:spcPct val="100000"/>
            </a:lnSpc>
            <a:spcBef>
              <a:spcPts val="0"/>
            </a:spcBef>
            <a:spcAft>
              <a:spcPts val="0"/>
            </a:spcAft>
            <a:buClrTx/>
            <a:buSzTx/>
            <a:buFontTx/>
            <a:buNone/>
            <a:tabLst/>
            <a:defRPr/>
          </a:pPr>
          <a:endParaRPr lang="sv-SE" sz="1200" b="1">
            <a:solidFill>
              <a:sysClr val="windowText" lastClr="000000"/>
            </a:solidFill>
          </a:endParaRPr>
        </a:p>
      </xdr:txBody>
    </xdr:sp>
    <xdr:clientData/>
  </xdr:twoCellAnchor>
  <xdr:twoCellAnchor>
    <xdr:from>
      <xdr:col>1</xdr:col>
      <xdr:colOff>137848</xdr:colOff>
      <xdr:row>114</xdr:row>
      <xdr:rowOff>72760</xdr:rowOff>
    </xdr:from>
    <xdr:to>
      <xdr:col>4</xdr:col>
      <xdr:colOff>10584</xdr:colOff>
      <xdr:row>124</xdr:row>
      <xdr:rowOff>104511</xdr:rowOff>
    </xdr:to>
    <xdr:sp macro="" textlink="">
      <xdr:nvSpPr>
        <xdr:cNvPr id="6" name="Rektangel 15">
          <a:extLst>
            <a:ext uri="{FF2B5EF4-FFF2-40B4-BE49-F238E27FC236}">
              <a16:creationId xmlns:a16="http://schemas.microsoft.com/office/drawing/2014/main" id="{DB7712FB-F474-4B9A-90DA-2C3E3E0F8F5A}"/>
            </a:ext>
          </a:extLst>
        </xdr:cNvPr>
        <xdr:cNvSpPr/>
      </xdr:nvSpPr>
      <xdr:spPr>
        <a:xfrm>
          <a:off x="381265" y="24668427"/>
          <a:ext cx="6773069" cy="2148417"/>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energianvändning för fastighetsenergi</a:t>
          </a:r>
        </a:p>
        <a:p>
          <a:pPr algn="l"/>
          <a:r>
            <a:rPr lang="sv-SE" sz="1100" b="0">
              <a:solidFill>
                <a:sysClr val="windowText" lastClr="000000"/>
              </a:solidFill>
            </a:rPr>
            <a:t>Ange </a:t>
          </a:r>
          <a:r>
            <a:rPr lang="sv-SE" sz="1100" b="0" baseline="0">
              <a:solidFill>
                <a:sysClr val="windowText" lastClr="000000"/>
              </a:solidFill>
            </a:rPr>
            <a:t>uppmätt </a:t>
          </a:r>
          <a:r>
            <a:rPr lang="sv-SE" sz="1100" b="0">
              <a:solidFill>
                <a:sysClr val="windowText" lastClr="000000"/>
              </a:solidFill>
            </a:rPr>
            <a:t>fastighetsenergi enligt BBR. </a:t>
          </a:r>
          <a:r>
            <a:rPr lang="sv-SE" sz="1100" b="0" baseline="0">
              <a:solidFill>
                <a:sysClr val="windowText" lastClr="000000"/>
              </a:solidFill>
            </a:rPr>
            <a:t>Fastighetsenergi är </a:t>
          </a:r>
          <a:r>
            <a:rPr lang="sv-SE" sz="1100" b="0">
              <a:solidFill>
                <a:sysClr val="windowText" lastClr="000000"/>
              </a:solidFill>
            </a:rPr>
            <a:t>oftast el men om apparater knutna till fastighetsens drift</a:t>
          </a:r>
          <a:r>
            <a:rPr lang="sv-SE" sz="1100" b="0" baseline="0">
              <a:solidFill>
                <a:sysClr val="windowText" lastClr="000000"/>
              </a:solidFill>
            </a:rPr>
            <a:t> </a:t>
          </a:r>
          <a:r>
            <a:rPr lang="sv-SE" sz="1100" b="0">
              <a:solidFill>
                <a:sysClr val="windowText" lastClr="000000"/>
              </a:solidFill>
            </a:rPr>
            <a:t> förses med annat än el ska mätning ske separat för respektive energibärare, såvida inte schabloner kan användas. Antal och typ av energikällor väljs i rullgardinsmenyer.</a:t>
          </a:r>
        </a:p>
        <a:p>
          <a:pPr algn="l"/>
          <a:endParaRPr lang="sv-SE" sz="1100" b="0">
            <a:solidFill>
              <a:sysClr val="windowText" lastClr="000000"/>
            </a:solidFill>
          </a:endParaRPr>
        </a:p>
        <a:p>
          <a:pPr algn="l"/>
          <a:r>
            <a:rPr lang="sv-SE" sz="1100" b="0">
              <a:solidFill>
                <a:sysClr val="windowText" lastClr="000000"/>
              </a:solidFill>
            </a:rPr>
            <a:t>Observera vad som faktiskt</a:t>
          </a:r>
          <a:r>
            <a:rPr lang="sv-SE" sz="1100" b="0" baseline="0">
              <a:solidFill>
                <a:sysClr val="windowText" lastClr="000000"/>
              </a:solidFill>
            </a:rPr>
            <a:t> </a:t>
          </a:r>
          <a:r>
            <a:rPr lang="sv-SE" sz="1100" b="0">
              <a:solidFill>
                <a:sysClr val="windowText" lastClr="000000"/>
              </a:solidFill>
            </a:rPr>
            <a:t>ingår i fastighetsenergi enligt BBR och vad som bör tas bort, så som utvändig elanvändning på tomtmark. Förtydliganden om gränsdragning finns i Boverkets gränsdragningslista (länken finns i </a:t>
          </a:r>
          <a:r>
            <a:rPr lang="sv-SE" sz="1100" b="0" i="1">
              <a:solidFill>
                <a:sysClr val="windowText" lastClr="000000"/>
              </a:solidFill>
            </a:rPr>
            <a:t>Referenser och källor </a:t>
          </a:r>
          <a:r>
            <a:rPr lang="sv-SE" sz="1100" b="0">
              <a:solidFill>
                <a:sysClr val="windowText" lastClr="000000"/>
              </a:solidFill>
            </a:rPr>
            <a:t>i manualerna </a:t>
          </a:r>
          <a:r>
            <a:rPr lang="sv-SE" sz="1100" b="0" i="1">
              <a:solidFill>
                <a:sysClr val="windowText" lastClr="000000"/>
              </a:solidFill>
            </a:rPr>
            <a:t>GreenBuilding 8.0 Ny Byggnad </a:t>
          </a:r>
          <a:r>
            <a:rPr lang="sv-SE" sz="1100" b="0">
              <a:solidFill>
                <a:sysClr val="windowText" lastClr="000000"/>
              </a:solidFill>
            </a:rPr>
            <a:t>eller </a:t>
          </a:r>
          <a:r>
            <a:rPr lang="sv-SE" sz="1100" b="0" i="1">
              <a:solidFill>
                <a:sysClr val="windowText" lastClr="000000"/>
              </a:solidFill>
            </a:rPr>
            <a:t>GreenBuilding 8.0  Befintlig Byggnad</a:t>
          </a:r>
          <a:r>
            <a:rPr lang="sv-SE" sz="1100" b="0">
              <a:solidFill>
                <a:sysClr val="windowText" lastClr="000000"/>
              </a:solidFill>
            </a:rPr>
            <a:t>).</a:t>
          </a:r>
        </a:p>
        <a:p>
          <a:pPr algn="l"/>
          <a:endParaRPr lang="sv-SE" sz="1100" b="0">
            <a:solidFill>
              <a:sysClr val="windowText" lastClr="000000"/>
            </a:solidFill>
          </a:endParaRPr>
        </a:p>
        <a:p>
          <a:pPr algn="l"/>
          <a:r>
            <a:rPr lang="sv-SE" sz="1100" b="0">
              <a:solidFill>
                <a:sysClr val="windowText" lastClr="000000"/>
              </a:solidFill>
            </a:rPr>
            <a:t>Energi för elvärmda badrumsgolv </a:t>
          </a:r>
          <a:r>
            <a:rPr lang="sv-SE" sz="1100" b="0" baseline="0">
              <a:solidFill>
                <a:sysClr val="windowText" lastClr="000000"/>
              </a:solidFill>
            </a:rPr>
            <a:t>ska kunna mätas och anges separat, men i fall separat mätning inte finns kan schablonvärden användas. Energi för de elvärmda badrumsgolvens ska därefter automatiskt adderas till energi för uppvärmning vid normalisering av energianvändningen. </a:t>
          </a:r>
          <a:endParaRPr lang="sv-SE" sz="1100" b="0">
            <a:solidFill>
              <a:sysClr val="windowText" lastClr="000000"/>
            </a:solidFill>
          </a:endParaRPr>
        </a:p>
      </xdr:txBody>
    </xdr:sp>
    <xdr:clientData/>
  </xdr:twoCellAnchor>
  <xdr:twoCellAnchor>
    <xdr:from>
      <xdr:col>2</xdr:col>
      <xdr:colOff>2646</xdr:colOff>
      <xdr:row>133</xdr:row>
      <xdr:rowOff>125413</xdr:rowOff>
    </xdr:from>
    <xdr:to>
      <xdr:col>4</xdr:col>
      <xdr:colOff>30162</xdr:colOff>
      <xdr:row>149</xdr:row>
      <xdr:rowOff>0</xdr:rowOff>
    </xdr:to>
    <xdr:sp macro="" textlink="">
      <xdr:nvSpPr>
        <xdr:cNvPr id="7" name="Rektangel 15">
          <a:extLst>
            <a:ext uri="{FF2B5EF4-FFF2-40B4-BE49-F238E27FC236}">
              <a16:creationId xmlns:a16="http://schemas.microsoft.com/office/drawing/2014/main" id="{A8A72598-354F-4EC0-8A16-4361A53A99C8}"/>
            </a:ext>
          </a:extLst>
        </xdr:cNvPr>
        <xdr:cNvSpPr/>
      </xdr:nvSpPr>
      <xdr:spPr>
        <a:xfrm>
          <a:off x="489479" y="28714524"/>
          <a:ext cx="7026627" cy="3261254"/>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tillgodogjord egenproducerad</a:t>
          </a:r>
          <a:r>
            <a:rPr lang="sv-SE" sz="1200" b="1" baseline="0">
              <a:solidFill>
                <a:sysClr val="windowText" lastClr="000000"/>
              </a:solidFill>
            </a:rPr>
            <a:t> och/eller återvunnen energi</a:t>
          </a:r>
          <a:endParaRPr lang="sv-SE" sz="1200" b="1">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100" b="0">
              <a:solidFill>
                <a:sysClr val="windowText" lastClr="000000"/>
              </a:solidFill>
            </a:rPr>
            <a:t>Ange mätvärden för uppmätt tillgodogjord</a:t>
          </a:r>
          <a:r>
            <a:rPr lang="sv-SE" sz="1100" b="0" baseline="0">
              <a:solidFill>
                <a:sysClr val="windowText" lastClr="000000"/>
              </a:solidFill>
            </a:rPr>
            <a:t> energi från </a:t>
          </a:r>
          <a:r>
            <a:rPr lang="sv-SE" sz="1100" b="0">
              <a:solidFill>
                <a:sysClr val="windowText" lastClr="000000"/>
              </a:solidFill>
            </a:rPr>
            <a:t>solfångare, solceller, avloppsvärmeväxlare eller processvärme för byggnadens energianvändning</a:t>
          </a:r>
          <a:r>
            <a:rPr lang="sv-SE" sz="1100" b="0" baseline="0">
              <a:solidFill>
                <a:sysClr val="windowText" lastClr="000000"/>
              </a:solidFill>
            </a:rPr>
            <a:t> enligt BBR. </a:t>
          </a:r>
          <a:r>
            <a:rPr lang="sv-SE" sz="1100" b="0" baseline="0">
              <a:solidFill>
                <a:sysClr val="windowText" lastClr="000000"/>
              </a:solidFill>
              <a:effectLst/>
              <a:latin typeface="+mn-lt"/>
              <a:ea typeface="+mn-ea"/>
              <a:cs typeface="+mn-cs"/>
            </a:rPr>
            <a:t>Mätvärden ska redovisas separat för uppvärmning, tappvarmvatten, komfortkyla och fastighetsenergi. Även återvunnen avloppsenergi och processvärme redovisas separat. Antal och typ av energiproduktionssystem och återvinning väljs i rullgardinsmenyer.</a:t>
          </a:r>
        </a:p>
        <a:p>
          <a:pPr marL="0" marR="0" lvl="0" indent="0" algn="l" defTabSz="914400" eaLnBrk="1" fontAlgn="auto" latinLnBrk="0" hangingPunct="1">
            <a:lnSpc>
              <a:spcPct val="100000"/>
            </a:lnSpc>
            <a:spcBef>
              <a:spcPts val="0"/>
            </a:spcBef>
            <a:spcAft>
              <a:spcPts val="0"/>
            </a:spcAft>
            <a:buClrTx/>
            <a:buSzTx/>
            <a:buFontTx/>
            <a:buNone/>
            <a:tabLst/>
            <a:defRPr/>
          </a:pPr>
          <a:endParaRPr lang="sv-SE" sz="1100" b="0" baseline="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100" b="0" baseline="0">
              <a:solidFill>
                <a:sysClr val="windowText" lastClr="000000"/>
              </a:solidFill>
              <a:effectLst/>
              <a:latin typeface="+mn-lt"/>
              <a:ea typeface="+mn-ea"/>
              <a:cs typeface="+mn-cs"/>
            </a:rPr>
            <a:t>Information om vilken energi som kan tillgodoräknas byggnadens energianvändning enligt BBR har sammanställts i Svebys </a:t>
          </a:r>
          <a:r>
            <a:rPr lang="sv-SE" sz="1100" b="0" i="1" baseline="0">
              <a:solidFill>
                <a:sysClr val="windowText" lastClr="000000"/>
              </a:solidFill>
              <a:effectLst/>
              <a:latin typeface="+mn-lt"/>
              <a:ea typeface="+mn-ea"/>
              <a:cs typeface="+mn-cs"/>
            </a:rPr>
            <a:t>Mätföreskrifter 2.0 </a:t>
          </a:r>
          <a:r>
            <a:rPr lang="sv-SE" sz="1100" b="0" i="0" baseline="0">
              <a:solidFill>
                <a:sysClr val="windowText" lastClr="000000"/>
              </a:solidFill>
              <a:effectLst/>
              <a:latin typeface="+mn-lt"/>
              <a:ea typeface="+mn-ea"/>
              <a:cs typeface="+mn-cs"/>
            </a:rPr>
            <a:t>samt i </a:t>
          </a:r>
          <a:r>
            <a:rPr lang="sv-SE" sz="1100" b="0" i="1" baseline="0">
              <a:solidFill>
                <a:sysClr val="windowText" lastClr="000000"/>
              </a:solidFill>
              <a:effectLst/>
              <a:latin typeface="+mn-lt"/>
              <a:ea typeface="+mn-ea"/>
              <a:cs typeface="+mn-cs"/>
            </a:rPr>
            <a:t>GreenBuildings mall för Mätplan </a:t>
          </a:r>
          <a:r>
            <a:rPr lang="sv-SE" sz="1100" b="0" baseline="0">
              <a:solidFill>
                <a:sysClr val="windowText" lastClr="000000"/>
              </a:solidFill>
              <a:effectLst/>
              <a:latin typeface="+mn-lt"/>
              <a:ea typeface="+mn-ea"/>
              <a:cs typeface="+mn-cs"/>
            </a:rPr>
            <a:t>och i </a:t>
          </a:r>
          <a:r>
            <a:rPr lang="sv-SE" sz="1100" b="0" i="1" baseline="0">
              <a:solidFill>
                <a:sysClr val="windowText" lastClr="000000"/>
              </a:solidFill>
              <a:effectLst/>
              <a:latin typeface="+mn-lt"/>
              <a:ea typeface="+mn-ea"/>
              <a:cs typeface="+mn-cs"/>
            </a:rPr>
            <a:t>GreenBuilding 8.0 NyByggnad </a:t>
          </a:r>
          <a:r>
            <a:rPr lang="sv-SE" sz="1100" b="0" baseline="0">
              <a:solidFill>
                <a:sysClr val="windowText" lastClr="000000"/>
              </a:solidFill>
              <a:effectLst/>
              <a:latin typeface="+mn-lt"/>
              <a:ea typeface="+mn-ea"/>
              <a:cs typeface="+mn-cs"/>
            </a:rPr>
            <a:t>eller </a:t>
          </a:r>
          <a:r>
            <a:rPr lang="sv-SE" sz="1100" b="0" i="1" baseline="0">
              <a:solidFill>
                <a:sysClr val="windowText" lastClr="000000"/>
              </a:solidFill>
              <a:effectLst/>
              <a:latin typeface="+mn-lt"/>
              <a:ea typeface="+mn-ea"/>
              <a:cs typeface="+mn-cs"/>
            </a:rPr>
            <a:t>Befintlig byggnad</a:t>
          </a:r>
          <a:r>
            <a:rPr lang="sv-SE" sz="1100" b="0" i="0" baseline="0">
              <a:solidFill>
                <a:sysClr val="windowText" lastClr="000000"/>
              </a:solidFill>
              <a:effectLst/>
              <a:latin typeface="+mn-lt"/>
              <a:ea typeface="+mn-ea"/>
              <a:cs typeface="+mn-cs"/>
            </a:rPr>
            <a:t> manual</a:t>
          </a:r>
          <a:r>
            <a:rPr lang="sv-SE" sz="1100" b="0" baseline="0">
              <a:solidFill>
                <a:sysClr val="windowText" lastClr="000000"/>
              </a:solidFill>
              <a:effectLst/>
              <a:latin typeface="+mn-lt"/>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endParaRPr lang="sv-SE" sz="1100" b="0" baseline="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100" b="0">
              <a:solidFill>
                <a:sysClr val="windowText" lastClr="000000"/>
              </a:solidFill>
              <a:effectLst/>
              <a:latin typeface="+mn-lt"/>
              <a:ea typeface="+mn-ea"/>
              <a:cs typeface="+mn-cs"/>
            </a:rPr>
            <a:t>Det ska</a:t>
          </a:r>
          <a:r>
            <a:rPr lang="sv-SE" sz="1100" b="0" baseline="0">
              <a:solidFill>
                <a:sysClr val="windowText" lastClr="000000"/>
              </a:solidFill>
              <a:effectLst/>
              <a:latin typeface="+mn-lt"/>
              <a:ea typeface="+mn-ea"/>
              <a:cs typeface="+mn-cs"/>
            </a:rPr>
            <a:t> </a:t>
          </a:r>
          <a:r>
            <a:rPr lang="sv-SE" sz="1100" b="0">
              <a:solidFill>
                <a:sysClr val="windowText" lastClr="000000"/>
              </a:solidFill>
              <a:effectLst/>
              <a:latin typeface="+mn-lt"/>
              <a:ea typeface="+mn-ea"/>
              <a:cs typeface="+mn-cs"/>
            </a:rPr>
            <a:t>noteras var energimätare för tillgodogjord egenproducerad</a:t>
          </a:r>
          <a:r>
            <a:rPr lang="sv-SE" sz="1100" b="0" baseline="0">
              <a:solidFill>
                <a:sysClr val="windowText" lastClr="000000"/>
              </a:solidFill>
              <a:effectLst/>
              <a:latin typeface="+mn-lt"/>
              <a:ea typeface="+mn-ea"/>
              <a:cs typeface="+mn-cs"/>
            </a:rPr>
            <a:t> eller återvunnen energi installerats i förhållande till övriga energimätare </a:t>
          </a:r>
          <a:r>
            <a:rPr lang="sv-SE" sz="1100" b="0">
              <a:solidFill>
                <a:sysClr val="windowText" lastClr="000000"/>
              </a:solidFill>
              <a:effectLst/>
              <a:latin typeface="+mn-lt"/>
              <a:ea typeface="+mn-ea"/>
              <a:cs typeface="+mn-cs"/>
            </a:rPr>
            <a:t>för mätning</a:t>
          </a:r>
          <a:r>
            <a:rPr lang="sv-SE" sz="1100" b="0" baseline="0">
              <a:solidFill>
                <a:sysClr val="windowText" lastClr="000000"/>
              </a:solidFill>
              <a:effectLst/>
              <a:latin typeface="+mn-lt"/>
              <a:ea typeface="+mn-ea"/>
              <a:cs typeface="+mn-cs"/>
            </a:rPr>
            <a:t> av uppvärmning, tappvarmvatten, komfortkyla, fastighetsenergi.  Om sådan mätare installerats efter mätare för en specifik energipost (exempelvis om debiteringsmätare används) har den specifika energiposten redan tagit hänsyn till tillgodogjord energi och ska därmed inte dras av ytterligare från uppmätt energi. Valet görs från rullgardingsmenyn under "Placering av mätare". </a:t>
          </a:r>
          <a:endParaRPr lang="sv-SE">
            <a:solidFill>
              <a:sysClr val="windowText" lastClr="000000"/>
            </a:solidFill>
            <a:effectLst/>
          </a:endParaRPr>
        </a:p>
        <a:p>
          <a:pPr algn="l"/>
          <a:endParaRPr lang="sv-SE" sz="1100" b="0" baseline="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sv-SE" sz="1100" b="0" baseline="0">
            <a:solidFill>
              <a:sysClr val="windowText" lastClr="000000"/>
            </a:solidFill>
          </a:endParaRPr>
        </a:p>
      </xdr:txBody>
    </xdr:sp>
    <xdr:clientData/>
  </xdr:twoCellAnchor>
  <xdr:twoCellAnchor>
    <xdr:from>
      <xdr:col>5</xdr:col>
      <xdr:colOff>39424</xdr:colOff>
      <xdr:row>181</xdr:row>
      <xdr:rowOff>98690</xdr:rowOff>
    </xdr:from>
    <xdr:to>
      <xdr:col>12</xdr:col>
      <xdr:colOff>35717</xdr:colOff>
      <xdr:row>197</xdr:row>
      <xdr:rowOff>10584</xdr:rowOff>
    </xdr:to>
    <xdr:sp macro="" textlink="">
      <xdr:nvSpPr>
        <xdr:cNvPr id="12" name="Rektangel 15">
          <a:extLst>
            <a:ext uri="{FF2B5EF4-FFF2-40B4-BE49-F238E27FC236}">
              <a16:creationId xmlns:a16="http://schemas.microsoft.com/office/drawing/2014/main" id="{6FE6EF13-7CCC-488A-833B-8D442DBE94D3}"/>
            </a:ext>
          </a:extLst>
        </xdr:cNvPr>
        <xdr:cNvSpPr/>
      </xdr:nvSpPr>
      <xdr:spPr>
        <a:xfrm>
          <a:off x="7384257" y="38780773"/>
          <a:ext cx="7722127" cy="3245644"/>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Uppmätta inomhustemperatur under uppvärmningssäsongen</a:t>
          </a:r>
        </a:p>
        <a:p>
          <a:pPr algn="l"/>
          <a:r>
            <a:rPr lang="sv-SE" sz="1100" b="0">
              <a:solidFill>
                <a:sysClr val="windowText" lastClr="000000"/>
              </a:solidFill>
            </a:rPr>
            <a:t>För normalisering av mätvärden enligt Boverkets föreskrifter</a:t>
          </a:r>
          <a:r>
            <a:rPr lang="sv-SE" sz="1100" b="0" baseline="0">
              <a:solidFill>
                <a:sysClr val="windowText" lastClr="000000"/>
              </a:solidFill>
            </a:rPr>
            <a:t> </a:t>
          </a:r>
          <a:r>
            <a:rPr lang="sv-SE" sz="1100" b="0">
              <a:solidFill>
                <a:sysClr val="windowText" lastClr="000000"/>
              </a:solidFill>
            </a:rPr>
            <a:t>BEN behöver även representativa inomhustemperaturer mätas under uppvärmningssäsongen. Temperaturmätningar i verksamhetsutrymmen eller lägenheter ska representera minst 20 % av den tempererade</a:t>
          </a:r>
          <a:r>
            <a:rPr lang="sv-SE" sz="1100" b="0" baseline="0">
              <a:solidFill>
                <a:sysClr val="windowText" lastClr="000000"/>
              </a:solidFill>
            </a:rPr>
            <a:t> golvarean (Atemp) </a:t>
          </a:r>
          <a:r>
            <a:rPr lang="sv-SE" sz="1100" b="0">
              <a:solidFill>
                <a:sysClr val="windowText" lastClr="000000"/>
              </a:solidFill>
            </a:rPr>
            <a:t>och mätas med minst en givare per våningsplan. För lokalbyggnader finns alternativet</a:t>
          </a:r>
          <a:r>
            <a:rPr lang="sv-SE" sz="1100" b="0" baseline="0">
              <a:solidFill>
                <a:sysClr val="windowText" lastClr="000000"/>
              </a:solidFill>
            </a:rPr>
            <a:t> att</a:t>
          </a:r>
          <a:r>
            <a:rPr lang="sv-SE" sz="1100" b="0">
              <a:solidFill>
                <a:sysClr val="windowText" lastClr="000000"/>
              </a:solidFill>
            </a:rPr>
            <a:t> temperaturmätning istället utgörs</a:t>
          </a:r>
          <a:r>
            <a:rPr lang="sv-SE" sz="1100" b="0" baseline="0">
              <a:solidFill>
                <a:sysClr val="windowText" lastClr="000000"/>
              </a:solidFill>
            </a:rPr>
            <a:t> av en </a:t>
          </a:r>
          <a:r>
            <a:rPr lang="sv-SE" sz="1100" b="0">
              <a:solidFill>
                <a:sysClr val="windowText" lastClr="000000"/>
              </a:solidFill>
            </a:rPr>
            <a:t>kombination av temperaturmätning i frånluft under drifttid och några representativa temperaturgivare i verksamhetsutrymmen under övrig tid. </a:t>
          </a:r>
        </a:p>
        <a:p>
          <a:pPr algn="l"/>
          <a:endParaRPr lang="sv-SE" sz="1100" b="0">
            <a:solidFill>
              <a:sysClr val="windowText" lastClr="000000"/>
            </a:solidFill>
          </a:endParaRPr>
        </a:p>
        <a:p>
          <a:pPr algn="l"/>
          <a:r>
            <a:rPr lang="sv-SE" sz="1100" b="0">
              <a:solidFill>
                <a:sysClr val="windowText" lastClr="000000"/>
              </a:solidFill>
            </a:rPr>
            <a:t>Mätvärdena i tabellen till vänster</a:t>
          </a:r>
          <a:r>
            <a:rPr lang="sv-SE" sz="1100" b="0" baseline="0">
              <a:solidFill>
                <a:sysClr val="windowText" lastClr="000000"/>
              </a:solidFill>
            </a:rPr>
            <a:t> </a:t>
          </a:r>
          <a:r>
            <a:rPr lang="sv-SE" sz="1100" b="0">
              <a:solidFill>
                <a:sysClr val="windowText" lastClr="000000"/>
              </a:solidFill>
            </a:rPr>
            <a:t>ska anges som genomsnittliga</a:t>
          </a:r>
          <a:r>
            <a:rPr lang="sv-SE" sz="1100" b="0" baseline="0">
              <a:solidFill>
                <a:sysClr val="windowText" lastClr="000000"/>
              </a:solidFill>
            </a:rPr>
            <a:t> medelvärden under uppvärmningssäsong för respektive areaandel.  Upp till tre olika areaandelar kan specificeras. </a:t>
          </a:r>
        </a:p>
        <a:p>
          <a:pPr algn="l"/>
          <a:endParaRPr lang="sv-SE" sz="1100" b="0" baseline="0">
            <a:solidFill>
              <a:sysClr val="windowText" lastClr="000000"/>
            </a:solidFill>
          </a:endParaRPr>
        </a:p>
        <a:p>
          <a:pPr algn="l"/>
          <a:r>
            <a:rPr lang="sv-SE" sz="1100" b="0" baseline="0">
              <a:solidFill>
                <a:sysClr val="windowText" lastClr="000000"/>
              </a:solidFill>
            </a:rPr>
            <a:t>En officiell definition av uppvärmningssäsongens längd saknas för närvarande. För schablonmetoden enligt BEN, kan mätvärden från månader utan betydande soltillskott, t.ex. perioden november till och med februari, användas. Användaren kan också specifiera en annan uppvärmningssäsong. Uppvärmningssäsongens start och slut ska anges separat. </a:t>
          </a:r>
        </a:p>
        <a:p>
          <a:pPr algn="l"/>
          <a:endParaRPr lang="sv-SE" sz="1100" b="0" baseline="0">
            <a:solidFill>
              <a:sysClr val="windowText" lastClr="000000"/>
            </a:solidFill>
          </a:endParaRPr>
        </a:p>
        <a:p>
          <a:pPr algn="l"/>
          <a:r>
            <a:rPr lang="sv-SE" sz="1100" b="0" baseline="0">
              <a:solidFill>
                <a:sysClr val="windowText" lastClr="000000"/>
              </a:solidFill>
            </a:rPr>
            <a:t>OBS! Om inomhustemperaturen avviker på grund av ”installationstekniska brister”, ska normalisering med avseende på inomhustemperatur inte utföras. I sådana fall ska indatatabellen lämnas tom. Dock ska uppvärmningssäsongens start och slut anges för normalisering av energianvändning på grund av avvikelser i internlaster. </a:t>
          </a:r>
        </a:p>
        <a:p>
          <a:pPr algn="l"/>
          <a:endParaRPr lang="sv-SE" sz="1100" b="0" baseline="0">
            <a:solidFill>
              <a:sysClr val="windowText" lastClr="000000"/>
            </a:solidFill>
          </a:endParaRPr>
        </a:p>
        <a:p>
          <a:pPr algn="l"/>
          <a:endParaRPr lang="sv-SE" sz="1100" b="0">
            <a:solidFill>
              <a:sysClr val="windowText" lastClr="000000"/>
            </a:solidFill>
          </a:endParaRPr>
        </a:p>
      </xdr:txBody>
    </xdr:sp>
    <xdr:clientData/>
  </xdr:twoCellAnchor>
  <xdr:twoCellAnchor>
    <xdr:from>
      <xdr:col>1</xdr:col>
      <xdr:colOff>198701</xdr:colOff>
      <xdr:row>160</xdr:row>
      <xdr:rowOff>166686</xdr:rowOff>
    </xdr:from>
    <xdr:to>
      <xdr:col>3</xdr:col>
      <xdr:colOff>3417093</xdr:colOff>
      <xdr:row>171</xdr:row>
      <xdr:rowOff>148165</xdr:rowOff>
    </xdr:to>
    <xdr:sp macro="" textlink="">
      <xdr:nvSpPr>
        <xdr:cNvPr id="14" name="Rektangel 15">
          <a:extLst>
            <a:ext uri="{FF2B5EF4-FFF2-40B4-BE49-F238E27FC236}">
              <a16:creationId xmlns:a16="http://schemas.microsoft.com/office/drawing/2014/main" id="{B5750DA8-901A-42F8-A499-370BF44E9860}"/>
            </a:ext>
          </a:extLst>
        </xdr:cNvPr>
        <xdr:cNvSpPr/>
      </xdr:nvSpPr>
      <xdr:spPr>
        <a:xfrm>
          <a:off x="442118" y="34499019"/>
          <a:ext cx="6689725" cy="2309813"/>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energianvändning för verksamhetsenergi</a:t>
          </a:r>
          <a:r>
            <a:rPr lang="sv-SE" sz="1200" b="1" baseline="0">
              <a:solidFill>
                <a:sysClr val="windowText" lastClr="000000"/>
              </a:solidFill>
            </a:rPr>
            <a:t> eller hushållsenergi</a:t>
          </a:r>
          <a:endParaRPr lang="sv-SE" sz="1200" b="1">
            <a:solidFill>
              <a:sysClr val="windowText" lastClr="000000"/>
            </a:solidFill>
          </a:endParaRPr>
        </a:p>
        <a:p>
          <a:pPr algn="l"/>
          <a:r>
            <a:rPr lang="sv-SE" sz="1100" b="0">
              <a:solidFill>
                <a:sysClr val="windowText" lastClr="000000"/>
              </a:solidFill>
            </a:rPr>
            <a:t>Ange uppmätt verksamhetsenergi eller hushållsenergi.</a:t>
          </a:r>
          <a:r>
            <a:rPr lang="sv-SE" sz="1100" b="0" baseline="0">
              <a:solidFill>
                <a:sysClr val="windowText" lastClr="000000"/>
              </a:solidFill>
            </a:rPr>
            <a:t> </a:t>
          </a:r>
          <a:r>
            <a:rPr lang="sv-SE" sz="1100" b="0">
              <a:solidFill>
                <a:sysClr val="windowText" lastClr="000000"/>
              </a:solidFill>
            </a:rPr>
            <a:t>Verksamhetsenergi eller hushållsenergi är oftast el men om verksamhets- eller hushållsapparater förses med annat än el ska mätning ske separat för respektive energibärare, såvida inte schabloner kan användas. Antal och typ av energikällor väljs i rullgardinsmenyer.</a:t>
          </a:r>
        </a:p>
        <a:p>
          <a:pPr algn="l"/>
          <a:endParaRPr lang="sv-SE" sz="1100" b="0">
            <a:solidFill>
              <a:sysClr val="windowText" lastClr="000000"/>
            </a:solidFill>
          </a:endParaRPr>
        </a:p>
        <a:p>
          <a:pPr algn="l"/>
          <a:r>
            <a:rPr lang="sv-SE" sz="1100" b="0">
              <a:solidFill>
                <a:sysClr val="windowText" lastClr="000000"/>
              </a:solidFill>
            </a:rPr>
            <a:t>Observera vad som ska ingå i hushållsenergi  (t.ex.</a:t>
          </a:r>
          <a:r>
            <a:rPr lang="sv-SE" sz="1100" b="0" baseline="0">
              <a:solidFill>
                <a:sysClr val="windowText" lastClr="000000"/>
              </a:solidFill>
            </a:rPr>
            <a:t> tvättstugor) </a:t>
          </a:r>
          <a:r>
            <a:rPr lang="sv-SE" sz="1100" b="0">
              <a:solidFill>
                <a:sysClr val="windowText" lastClr="000000"/>
              </a:solidFill>
            </a:rPr>
            <a:t>och vad som bör tas bort (t.ex. elgolvvärme). Förtydliganden gällande gränsdragning finns i Boverkets gränsdragningslista (länken</a:t>
          </a:r>
          <a:r>
            <a:rPr lang="sv-SE" sz="1100" b="0" baseline="0">
              <a:solidFill>
                <a:sysClr val="windowText" lastClr="000000"/>
              </a:solidFill>
            </a:rPr>
            <a:t> finns i </a:t>
          </a:r>
          <a:r>
            <a:rPr lang="sv-SE" sz="1100" b="0" i="1">
              <a:solidFill>
                <a:sysClr val="windowText" lastClr="000000"/>
              </a:solidFill>
            </a:rPr>
            <a:t>Referenser och källor</a:t>
          </a:r>
          <a:r>
            <a:rPr lang="sv-SE" sz="1100" b="0" i="1" baseline="0">
              <a:solidFill>
                <a:sysClr val="windowText" lastClr="000000"/>
              </a:solidFill>
            </a:rPr>
            <a:t> </a:t>
          </a:r>
          <a:r>
            <a:rPr lang="sv-SE" sz="1100" b="0" baseline="0">
              <a:solidFill>
                <a:sysClr val="windowText" lastClr="000000"/>
              </a:solidFill>
            </a:rPr>
            <a:t>i manualerna </a:t>
          </a:r>
          <a:r>
            <a:rPr lang="sv-SE" sz="1100" b="0" i="1" baseline="0">
              <a:solidFill>
                <a:sysClr val="windowText" lastClr="000000"/>
              </a:solidFill>
            </a:rPr>
            <a:t>GreenBuilding 8.0 Ny Byggnad </a:t>
          </a:r>
          <a:r>
            <a:rPr lang="sv-SE" sz="1100" b="0" baseline="0">
              <a:solidFill>
                <a:sysClr val="windowText" lastClr="000000"/>
              </a:solidFill>
            </a:rPr>
            <a:t>eller </a:t>
          </a:r>
          <a:r>
            <a:rPr lang="sv-SE" sz="1100" b="0" i="1" baseline="0">
              <a:solidFill>
                <a:sysClr val="windowText" lastClr="000000"/>
              </a:solidFill>
            </a:rPr>
            <a:t>GreenBuilding 8.0  Befintlig Byggnad).</a:t>
          </a:r>
        </a:p>
        <a:p>
          <a:pPr algn="l"/>
          <a:r>
            <a:rPr lang="sv-SE" sz="1100" b="0" baseline="0">
              <a:solidFill>
                <a:sysClr val="windowText" lastClr="000000"/>
              </a:solidFill>
            </a:rPr>
            <a:t> </a:t>
          </a:r>
          <a:endParaRPr lang="sv-SE" sz="1100" b="0">
            <a:solidFill>
              <a:sysClr val="windowText" lastClr="000000"/>
            </a:solidFill>
          </a:endParaRPr>
        </a:p>
        <a:p>
          <a:pPr algn="l"/>
          <a:r>
            <a:rPr lang="sv-SE" sz="1100" b="0">
              <a:solidFill>
                <a:sysClr val="windowText" lastClr="000000"/>
              </a:solidFill>
            </a:rPr>
            <a:t>Detta </a:t>
          </a:r>
          <a:r>
            <a:rPr lang="sv-SE" sz="1100" b="0" baseline="0">
              <a:solidFill>
                <a:sysClr val="windowText" lastClr="000000"/>
              </a:solidFill>
            </a:rPr>
            <a:t>verktyget kan användas för normalisering av energianvändningen orsakad av avvikelser i internlaster i bostäder. Motsvarande korrigering för lokaler behöver göras med så kallad dynamisk energiberäkning. </a:t>
          </a:r>
        </a:p>
      </xdr:txBody>
    </xdr:sp>
    <xdr:clientData/>
  </xdr:twoCellAnchor>
  <xdr:twoCellAnchor>
    <xdr:from>
      <xdr:col>3</xdr:col>
      <xdr:colOff>3397250</xdr:colOff>
      <xdr:row>0</xdr:row>
      <xdr:rowOff>156104</xdr:rowOff>
    </xdr:from>
    <xdr:to>
      <xdr:col>12</xdr:col>
      <xdr:colOff>190501</xdr:colOff>
      <xdr:row>9</xdr:row>
      <xdr:rowOff>31749</xdr:rowOff>
    </xdr:to>
    <xdr:sp macro="" textlink="">
      <xdr:nvSpPr>
        <xdr:cNvPr id="16" name="Rektangel 15">
          <a:extLst>
            <a:ext uri="{FF2B5EF4-FFF2-40B4-BE49-F238E27FC236}">
              <a16:creationId xmlns:a16="http://schemas.microsoft.com/office/drawing/2014/main" id="{7BA25CAA-A68B-4884-9BAC-CBC03F4F25E8}"/>
            </a:ext>
          </a:extLst>
        </xdr:cNvPr>
        <xdr:cNvSpPr/>
      </xdr:nvSpPr>
      <xdr:spPr>
        <a:xfrm>
          <a:off x="7112000" y="156104"/>
          <a:ext cx="8149168" cy="2256895"/>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indent="0" algn="l"/>
          <a:r>
            <a:rPr lang="sv-SE" sz="1200" b="0" baseline="0">
              <a:solidFill>
                <a:sysClr val="windowText" lastClr="000000"/>
              </a:solidFill>
              <a:latin typeface="+mn-lt"/>
              <a:ea typeface="+mn-ea"/>
              <a:cs typeface="+mn-cs"/>
            </a:rPr>
            <a:t>I denna flik ska uppmätt energi för uppvärmning, tappvarmvatten, komfortkyla, fastighetsenergi och hushållsenergi specificeras separat för respektive energipost för en sammanhängande 12-månadersperiod. Mätvärdena behöver anges separat för respektive energibärare (energikälla), exempelvis el, fjärrvärme, biobränsle, gas, osv.  </a:t>
          </a:r>
        </a:p>
        <a:p>
          <a:pPr marL="0" indent="0" algn="l"/>
          <a:endParaRPr lang="sv-SE" sz="1200" b="0" baseline="0">
            <a:solidFill>
              <a:sysClr val="windowText" lastClr="000000"/>
            </a:solidFill>
            <a:latin typeface="+mn-lt"/>
            <a:ea typeface="+mn-ea"/>
            <a:cs typeface="+mn-cs"/>
          </a:endParaRPr>
        </a:p>
        <a:p>
          <a:pPr marL="0" indent="0" algn="l"/>
          <a:r>
            <a:rPr lang="sv-SE" sz="1200" b="0" baseline="0">
              <a:solidFill>
                <a:sysClr val="windowText" lastClr="000000"/>
              </a:solidFill>
              <a:latin typeface="+mn-lt"/>
              <a:ea typeface="+mn-ea"/>
              <a:cs typeface="+mn-cs"/>
            </a:rPr>
            <a:t>Mätdata som behövs för att normalisera och beräkna en byggnadens energiprestanda baseras på mätanvisningar som finns i </a:t>
          </a:r>
          <a:r>
            <a:rPr lang="sv-SE" sz="1200" b="0" i="1" baseline="0">
              <a:solidFill>
                <a:sysClr val="windowText" lastClr="000000"/>
              </a:solidFill>
              <a:latin typeface="+mn-lt"/>
              <a:ea typeface="+mn-ea"/>
              <a:cs typeface="+mn-cs"/>
            </a:rPr>
            <a:t>G</a:t>
          </a:r>
          <a:r>
            <a:rPr lang="sv-SE" sz="1200" b="0" i="1" u="none" baseline="0">
              <a:solidFill>
                <a:sysClr val="windowText" lastClr="000000"/>
              </a:solidFill>
              <a:latin typeface="+mn-lt"/>
              <a:ea typeface="+mn-ea"/>
              <a:cs typeface="+mn-cs"/>
            </a:rPr>
            <a:t>reenBuilding mall för Mätplan, </a:t>
          </a:r>
          <a:r>
            <a:rPr lang="sv-SE" sz="1200" b="0" i="0" u="none" baseline="0">
              <a:solidFill>
                <a:sysClr val="windowText" lastClr="000000"/>
              </a:solidFill>
              <a:latin typeface="+mn-lt"/>
              <a:ea typeface="+mn-ea"/>
              <a:cs typeface="+mn-cs"/>
            </a:rPr>
            <a:t>vilken grundas </a:t>
          </a:r>
          <a:r>
            <a:rPr lang="sv-SE" sz="1200" b="0" baseline="0">
              <a:solidFill>
                <a:sysClr val="windowText" lastClr="000000"/>
              </a:solidFill>
              <a:latin typeface="+mn-lt"/>
              <a:ea typeface="+mn-ea"/>
              <a:cs typeface="+mn-cs"/>
            </a:rPr>
            <a:t>på Svebys ”</a:t>
          </a:r>
          <a:r>
            <a:rPr lang="sv-SE" sz="1200" b="0" i="1" baseline="0">
              <a:solidFill>
                <a:sysClr val="windowText" lastClr="000000"/>
              </a:solidFill>
              <a:latin typeface="+mn-lt"/>
              <a:ea typeface="+mn-ea"/>
              <a:cs typeface="+mn-cs"/>
            </a:rPr>
            <a:t>Mätanvisningar version 2.0”. </a:t>
          </a:r>
          <a:r>
            <a:rPr lang="sv-SE" sz="1200" b="0" baseline="0">
              <a:solidFill>
                <a:sysClr val="windowText" lastClr="000000"/>
              </a:solidFill>
              <a:latin typeface="+mn-lt"/>
              <a:ea typeface="+mn-ea"/>
              <a:cs typeface="+mn-cs"/>
            </a:rPr>
            <a:t>Tänk på att mätuppgifter vid behov bearbetas före normalisering av mätvärden. Mer information om hantering av mätdata finns i Svebys "</a:t>
          </a:r>
          <a:r>
            <a:rPr lang="sv-SE" sz="1200" b="0" i="1" baseline="0">
              <a:solidFill>
                <a:sysClr val="windowText" lastClr="000000"/>
              </a:solidFill>
              <a:latin typeface="+mn-lt"/>
              <a:ea typeface="+mn-ea"/>
              <a:cs typeface="+mn-cs"/>
            </a:rPr>
            <a:t>Verifieringsanvisningar version 2.0" </a:t>
          </a:r>
          <a:r>
            <a:rPr lang="sv-SE" sz="1200" b="0" baseline="0">
              <a:solidFill>
                <a:sysClr val="windowText" lastClr="000000"/>
              </a:solidFill>
              <a:latin typeface="+mn-lt"/>
              <a:ea typeface="+mn-ea"/>
              <a:cs typeface="+mn-cs"/>
            </a:rPr>
            <a:t>och i manualerna </a:t>
          </a:r>
          <a:r>
            <a:rPr lang="sv-SE" sz="1200" b="0" i="1" baseline="0">
              <a:solidFill>
                <a:sysClr val="windowText" lastClr="000000"/>
              </a:solidFill>
              <a:latin typeface="+mn-lt"/>
              <a:ea typeface="+mn-ea"/>
              <a:cs typeface="+mn-cs"/>
            </a:rPr>
            <a:t>GreenBuilding 8.0 Ny Byggnad </a:t>
          </a:r>
          <a:r>
            <a:rPr lang="sv-SE" sz="1200" b="0" baseline="0">
              <a:solidFill>
                <a:sysClr val="windowText" lastClr="000000"/>
              </a:solidFill>
              <a:latin typeface="+mn-lt"/>
              <a:ea typeface="+mn-ea"/>
              <a:cs typeface="+mn-cs"/>
            </a:rPr>
            <a:t>eller </a:t>
          </a:r>
          <a:r>
            <a:rPr lang="sv-SE" sz="1200" b="0" i="1" baseline="0">
              <a:solidFill>
                <a:sysClr val="windowText" lastClr="000000"/>
              </a:solidFill>
              <a:latin typeface="+mn-lt"/>
              <a:ea typeface="+mn-ea"/>
              <a:cs typeface="+mn-cs"/>
            </a:rPr>
            <a:t>GreenBuilding 8.0  Befintlig Byggnad</a:t>
          </a:r>
          <a:r>
            <a:rPr lang="sv-SE" sz="1200" b="0" baseline="0">
              <a:solidFill>
                <a:sysClr val="windowText" lastClr="000000"/>
              </a:solidFill>
              <a:latin typeface="+mn-lt"/>
              <a:ea typeface="+mn-ea"/>
              <a:cs typeface="+mn-cs"/>
            </a:rPr>
            <a:t>.</a:t>
          </a:r>
        </a:p>
        <a:p>
          <a:pPr marL="0" indent="0" algn="l"/>
          <a:endParaRPr lang="sv-SE" sz="1200" b="0" baseline="0">
            <a:solidFill>
              <a:sysClr val="windowText" lastClr="000000"/>
            </a:solidFill>
            <a:latin typeface="+mn-lt"/>
            <a:ea typeface="+mn-ea"/>
            <a:cs typeface="+mn-cs"/>
          </a:endParaRPr>
        </a:p>
        <a:p>
          <a:pPr marL="0" indent="0" algn="l"/>
          <a:r>
            <a:rPr lang="sv-SE" sz="1200" b="0" baseline="0">
              <a:solidFill>
                <a:sysClr val="windowText" lastClr="000000"/>
              </a:solidFill>
              <a:latin typeface="+mn-lt"/>
              <a:ea typeface="+mn-ea"/>
              <a:cs typeface="+mn-cs"/>
            </a:rPr>
            <a:t>OBS! Endast gröna celler fylls i. Gråa celler beräknas eller länkas automatiskt. Under varje energipost finns också förklarande text. Hjälptexter finns även vid gröna rutor där indata matas in. </a:t>
          </a:r>
        </a:p>
        <a:p>
          <a:pPr marL="0" indent="0" algn="l"/>
          <a:endParaRPr lang="sv-SE" sz="1050" b="0" baseline="0">
            <a:solidFill>
              <a:sysClr val="windowText" lastClr="000000"/>
            </a:solidFill>
            <a:latin typeface="+mn-lt"/>
            <a:ea typeface="+mn-ea"/>
            <a:cs typeface="+mn-cs"/>
          </a:endParaRPr>
        </a:p>
        <a:p>
          <a:pPr marL="0" indent="0" algn="l"/>
          <a:endParaRPr lang="sv-SE" sz="1050" b="0" baseline="0">
            <a:solidFill>
              <a:sysClr val="windowText" lastClr="000000"/>
            </a:solidFill>
            <a:latin typeface="+mn-lt"/>
            <a:ea typeface="+mn-ea"/>
            <a:cs typeface="+mn-cs"/>
          </a:endParaRPr>
        </a:p>
        <a:p>
          <a:pPr marL="0" indent="0" algn="l"/>
          <a:endParaRPr lang="sv-SE" sz="1050" b="0" baseline="0">
            <a:solidFill>
              <a:sysClr val="windowText" lastClr="000000"/>
            </a:solidFill>
            <a:latin typeface="+mn-lt"/>
            <a:ea typeface="+mn-ea"/>
            <a:cs typeface="+mn-cs"/>
          </a:endParaRPr>
        </a:p>
        <a:p>
          <a:pPr marL="0" indent="0" algn="l"/>
          <a:endParaRPr lang="sv-SE" sz="1050" b="0" baseline="0">
            <a:solidFill>
              <a:sysClr val="windowText" lastClr="000000"/>
            </a:solidFill>
            <a:latin typeface="+mn-lt"/>
            <a:ea typeface="+mn-ea"/>
            <a:cs typeface="+mn-cs"/>
          </a:endParaRPr>
        </a:p>
        <a:p>
          <a:pPr marL="0" indent="0" algn="l"/>
          <a:endParaRPr lang="sv-SE" sz="1050" b="0" baseline="0">
            <a:solidFill>
              <a:schemeClr val="tx1"/>
            </a:solidFill>
            <a:effectLst/>
            <a:latin typeface="+mn-lt"/>
            <a:ea typeface="+mn-ea"/>
            <a:cs typeface="+mn-cs"/>
          </a:endParaRPr>
        </a:p>
        <a:p>
          <a:pPr marL="0" indent="0" algn="l"/>
          <a:endParaRPr lang="sv-SE" sz="1050" b="0" baseline="0">
            <a:solidFill>
              <a:schemeClr val="tx1"/>
            </a:solidFill>
            <a:latin typeface="+mn-lt"/>
            <a:ea typeface="+mn-ea"/>
            <a:cs typeface="+mn-cs"/>
          </a:endParaRPr>
        </a:p>
      </xdr:txBody>
    </xdr:sp>
    <xdr:clientData/>
  </xdr:twoCellAnchor>
  <xdr:twoCellAnchor editAs="oneCell">
    <xdr:from>
      <xdr:col>2</xdr:col>
      <xdr:colOff>0</xdr:colOff>
      <xdr:row>0</xdr:row>
      <xdr:rowOff>0</xdr:rowOff>
    </xdr:from>
    <xdr:to>
      <xdr:col>2</xdr:col>
      <xdr:colOff>1238251</xdr:colOff>
      <xdr:row>4</xdr:row>
      <xdr:rowOff>101083</xdr:rowOff>
    </xdr:to>
    <xdr:pic>
      <xdr:nvPicPr>
        <xdr:cNvPr id="4" name="Bildobjekt 3">
          <a:extLst>
            <a:ext uri="{FF2B5EF4-FFF2-40B4-BE49-F238E27FC236}">
              <a16:creationId xmlns:a16="http://schemas.microsoft.com/office/drawing/2014/main" id="{7FC31534-334C-4FFE-9D5E-CB029216A3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55083" y="0"/>
          <a:ext cx="1238251" cy="12229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xdr:colOff>
      <xdr:row>19</xdr:row>
      <xdr:rowOff>152401</xdr:rowOff>
    </xdr:from>
    <xdr:to>
      <xdr:col>4</xdr:col>
      <xdr:colOff>2</xdr:colOff>
      <xdr:row>32</xdr:row>
      <xdr:rowOff>31750</xdr:rowOff>
    </xdr:to>
    <xdr:sp macro="" textlink="">
      <xdr:nvSpPr>
        <xdr:cNvPr id="2" name="Rektangel 15">
          <a:extLst>
            <a:ext uri="{FF2B5EF4-FFF2-40B4-BE49-F238E27FC236}">
              <a16:creationId xmlns:a16="http://schemas.microsoft.com/office/drawing/2014/main" id="{3718636F-515D-401C-BFAE-8DFFE76585F1}"/>
            </a:ext>
          </a:extLst>
        </xdr:cNvPr>
        <xdr:cNvSpPr/>
      </xdr:nvSpPr>
      <xdr:spPr>
        <a:xfrm>
          <a:off x="457201" y="4562476"/>
          <a:ext cx="6686551" cy="2603499"/>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energianvändning för uppvärmning</a:t>
          </a:r>
        </a:p>
        <a:p>
          <a:pPr algn="l"/>
          <a:r>
            <a:rPr lang="sv-SE" sz="1100" b="0">
              <a:solidFill>
                <a:sysClr val="windowText" lastClr="000000"/>
              </a:solidFill>
            </a:rPr>
            <a:t>Ange uppmätt energianvändning för uppvärmning separat för </a:t>
          </a:r>
          <a:r>
            <a:rPr lang="sv-SE" sz="1100" b="0" baseline="0">
              <a:solidFill>
                <a:sysClr val="windowText" lastClr="000000"/>
              </a:solidFill>
            </a:rPr>
            <a:t>respektive energibärare (värmekälla). Värden kan anges för upp till 3 olika värmekällor (värmeproduktionssystem). Antal och typ av värmekällor väljs i rullgardinsmenyer ovan. Mätvärdena skall bara motsvara den energi som används för uppvärmning av byggnaden, dvs. exklusive tappvattenvärmning.  Inmatade mätvärden för uppvärmning ska också exkludera elgolvvärme i badrum och återvunnen processenergi i byggnaden. Dessa energiposter ska mätas separat och redovisas i separata tabeller nedan. </a:t>
          </a:r>
        </a:p>
        <a:p>
          <a:pPr algn="l"/>
          <a:endParaRPr lang="sv-SE" sz="1100" b="0" baseline="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100" b="0" baseline="0">
              <a:solidFill>
                <a:sysClr val="windowText" lastClr="000000"/>
              </a:solidFill>
            </a:rPr>
            <a:t>Beroende på mätarnas placering mäter de antigen hur mycket energi som levereras till byggnaden så kallad köpt energi eller hur mycket energi som produceras av energiproduktionssystemet. Detta ska anges under "Mätpunkt för mätning" genom val i rullgardinsmenyn. Även årsverkningsgrad för produktion av energi ska anges för vissa energiposter. Informationen används för beräkning av levererad energi om mätdata anges som producerad energi och för normalisering av energianvändningen. Om det inte går att få fram uppgifter om årsverkningsgraden kan schablonvärden användas som baseras på tabell 3:2 i Boverkets föreskrifter BFS 2017:6 BEN 2. </a:t>
          </a:r>
        </a:p>
        <a:p>
          <a:pPr algn="l"/>
          <a:endParaRPr lang="sv-SE" sz="1200" b="1">
            <a:solidFill>
              <a:sysClr val="windowText" lastClr="000000"/>
            </a:solidFill>
          </a:endParaRPr>
        </a:p>
      </xdr:txBody>
    </xdr:sp>
    <xdr:clientData/>
  </xdr:twoCellAnchor>
  <xdr:twoCellAnchor>
    <xdr:from>
      <xdr:col>2</xdr:col>
      <xdr:colOff>23813</xdr:colOff>
      <xdr:row>47</xdr:row>
      <xdr:rowOff>132290</xdr:rowOff>
    </xdr:from>
    <xdr:to>
      <xdr:col>4</xdr:col>
      <xdr:colOff>1</xdr:colOff>
      <xdr:row>65</xdr:row>
      <xdr:rowOff>35718</xdr:rowOff>
    </xdr:to>
    <xdr:sp macro="" textlink="">
      <xdr:nvSpPr>
        <xdr:cNvPr id="3" name="Rektangel 15">
          <a:extLst>
            <a:ext uri="{FF2B5EF4-FFF2-40B4-BE49-F238E27FC236}">
              <a16:creationId xmlns:a16="http://schemas.microsoft.com/office/drawing/2014/main" id="{B114C57C-2A18-40DF-9481-D90D3D6E6D21}"/>
            </a:ext>
          </a:extLst>
        </xdr:cNvPr>
        <xdr:cNvSpPr/>
      </xdr:nvSpPr>
      <xdr:spPr>
        <a:xfrm>
          <a:off x="481013" y="10409765"/>
          <a:ext cx="6662738" cy="3722953"/>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energianvändning för tappvarmvatten</a:t>
          </a:r>
        </a:p>
        <a:p>
          <a:pPr algn="l"/>
          <a:r>
            <a:rPr lang="sv-SE" sz="1100" b="0">
              <a:solidFill>
                <a:sysClr val="windowText" lastClr="000000"/>
              </a:solidFill>
            </a:rPr>
            <a:t>Ange uppmätt energianvändning för tappvarmvatten separat för respektive energibärare (värmekälla). Värden kan anges för upp till 3 olika värmekällor (värmeproduktionssystem). Antal och typ av värmekällor väljs i rullgardinsmenyer ovan. </a:t>
          </a:r>
        </a:p>
        <a:p>
          <a:pPr algn="l"/>
          <a:endParaRPr lang="sv-SE" sz="1100" b="0">
            <a:solidFill>
              <a:sysClr val="windowText" lastClr="000000"/>
            </a:solidFill>
          </a:endParaRPr>
        </a:p>
        <a:p>
          <a:pPr algn="l"/>
          <a:r>
            <a:rPr lang="sv-SE" sz="1100" b="0">
              <a:solidFill>
                <a:sysClr val="windowText" lastClr="000000"/>
              </a:solidFill>
            </a:rPr>
            <a:t>Beroende på mätarnas placering mäter de antigen hur mycket energi som produceras, eller levereras till värmekällan (så kallad köpt energi). Detta ska anges under "Mätpunkt för mätning" genom val i rullgardinsmenyn. Även årsverkningsgrad för produktion av tappvarmvatten ska specificeras. Informationen används för automatisk beräkning levererad energi från producerad energi och för normalisering av energianvändningen. Om det inte går att få fram uppgifter om årsverkningsgraden kan värden enligt tabell 3:2 i Boverkets föreskrifter BFS 2017:6 BEN 2 användas</a:t>
          </a:r>
        </a:p>
        <a:p>
          <a:pPr algn="l"/>
          <a:endParaRPr lang="sv-SE" sz="1100" b="0">
            <a:solidFill>
              <a:sysClr val="windowText" lastClr="000000"/>
            </a:solidFill>
          </a:endParaRPr>
        </a:p>
        <a:p>
          <a:pPr algn="l"/>
          <a:r>
            <a:rPr lang="sv-SE" sz="1100" b="0">
              <a:solidFill>
                <a:sysClr val="windowText" lastClr="000000"/>
              </a:solidFill>
            </a:rPr>
            <a:t>Förluster för varmvattencirkulation (VVC) ska kunna mätas separat. Dock är det inte ovanligt att de inkluderas i energin för tappvarmvatten eller energin för uppvärmning. Detta skall i så fall specificeras under "Mätning av VVC förluster" ovan. Om VVC-förluster mäts separat ska tabeller för förluster för varmvattencirkulation (VVC-förluster) fyllas i för att detta ska kunna tas hänsyn till vid normalårskorrigering.</a:t>
          </a:r>
        </a:p>
        <a:p>
          <a:pPr algn="l"/>
          <a:endParaRPr lang="sv-SE" sz="11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100" b="0">
              <a:solidFill>
                <a:sysClr val="windowText" lastClr="000000"/>
              </a:solidFill>
            </a:rPr>
            <a:t>OBS!</a:t>
          </a:r>
          <a:r>
            <a:rPr lang="sv-SE" sz="1100" b="0" baseline="0">
              <a:solidFill>
                <a:sysClr val="windowText" lastClr="000000"/>
              </a:solidFill>
            </a:rPr>
            <a:t> I</a:t>
          </a:r>
          <a:r>
            <a:rPr lang="sv-SE" sz="1100" b="0">
              <a:solidFill>
                <a:sysClr val="windowText" lastClr="000000"/>
              </a:solidFill>
            </a:rPr>
            <a:t> befintliga</a:t>
          </a:r>
          <a:r>
            <a:rPr lang="sv-SE" sz="1100" b="0" baseline="0">
              <a:solidFill>
                <a:sysClr val="windowText" lastClr="000000"/>
              </a:solidFill>
            </a:rPr>
            <a:t> byggnader kan energi för tappvattenvärmning </a:t>
          </a:r>
          <a:r>
            <a:rPr lang="sv-SE" sz="1100" b="0">
              <a:solidFill>
                <a:sysClr val="windowText" lastClr="000000"/>
              </a:solidFill>
            </a:rPr>
            <a:t>baseras på uppmätt tappvarmvattenvolym alternativt kallvattenvolym, om det inte går att installera energimätare för tappvarmvatten. Energianvändningen ska</a:t>
          </a:r>
          <a:r>
            <a:rPr lang="sv-SE" sz="1100" b="0" baseline="0">
              <a:solidFill>
                <a:sysClr val="windowText" lastClr="000000"/>
              </a:solidFill>
            </a:rPr>
            <a:t> beräknas med hjälp av ekvationen enligt Boverkets föreskrifter BFS 2017:6 BEN 2. Resultatet matas in i tabellen. </a:t>
          </a:r>
          <a:endParaRPr lang="sv-SE" sz="1200" b="1">
            <a:solidFill>
              <a:sysClr val="windowText" lastClr="000000"/>
            </a:solidFill>
          </a:endParaRPr>
        </a:p>
      </xdr:txBody>
    </xdr:sp>
    <xdr:clientData/>
  </xdr:twoCellAnchor>
  <xdr:twoCellAnchor>
    <xdr:from>
      <xdr:col>1</xdr:col>
      <xdr:colOff>211932</xdr:colOff>
      <xdr:row>86</xdr:row>
      <xdr:rowOff>11904</xdr:rowOff>
    </xdr:from>
    <xdr:to>
      <xdr:col>4</xdr:col>
      <xdr:colOff>11907</xdr:colOff>
      <xdr:row>93</xdr:row>
      <xdr:rowOff>171979</xdr:rowOff>
    </xdr:to>
    <xdr:sp macro="" textlink="">
      <xdr:nvSpPr>
        <xdr:cNvPr id="4" name="Rektangel 15">
          <a:extLst>
            <a:ext uri="{FF2B5EF4-FFF2-40B4-BE49-F238E27FC236}">
              <a16:creationId xmlns:a16="http://schemas.microsoft.com/office/drawing/2014/main" id="{47ADB75F-1B69-42EF-BD90-9E23081E88D6}"/>
            </a:ext>
          </a:extLst>
        </xdr:cNvPr>
        <xdr:cNvSpPr/>
      </xdr:nvSpPr>
      <xdr:spPr>
        <a:xfrm>
          <a:off x="459582" y="18509454"/>
          <a:ext cx="6696075" cy="1626925"/>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energianvändning för komfortkyla</a:t>
          </a:r>
        </a:p>
        <a:p>
          <a:pPr algn="l"/>
          <a:r>
            <a:rPr lang="sv-SE" sz="1100" b="0">
              <a:solidFill>
                <a:sysClr val="windowText" lastClr="000000"/>
              </a:solidFill>
            </a:rPr>
            <a:t>Ange uppmätt energianvändning för komfortkyla exkl processkyla/verksamhetskyla. Mätvärden</a:t>
          </a:r>
          <a:r>
            <a:rPr lang="sv-SE" sz="1100" b="0" baseline="0">
              <a:solidFill>
                <a:sysClr val="windowText" lastClr="000000"/>
              </a:solidFill>
            </a:rPr>
            <a:t> </a:t>
          </a:r>
          <a:r>
            <a:rPr lang="sv-SE" sz="1100" b="0">
              <a:solidFill>
                <a:sysClr val="windowText" lastClr="000000"/>
              </a:solidFill>
            </a:rPr>
            <a:t>fördelas separat för respektive energibärare som levererar kyla till byggnaden. Antal och typ av kylproduktionssystem väljs</a:t>
          </a:r>
          <a:r>
            <a:rPr lang="sv-SE" sz="1100" b="0" baseline="0">
              <a:solidFill>
                <a:sysClr val="windowText" lastClr="000000"/>
              </a:solidFill>
            </a:rPr>
            <a:t> i rullgardinsmenyer ovan. </a:t>
          </a:r>
        </a:p>
        <a:p>
          <a:pPr algn="l"/>
          <a:endParaRPr lang="sv-SE" sz="1100" b="0" baseline="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100" b="0" baseline="0">
              <a:solidFill>
                <a:sysClr val="windowText" lastClr="000000"/>
              </a:solidFill>
            </a:rPr>
            <a:t>Beroende på mätarnas placering mäter de antigen hur mycket energi som produceras, eller hur mycket som levereras (så kallad köpt energi). Detta ska anges med hjälp av rullgardinsmenyn under "Mätpunkt för mätning" . Även årsverkningsgraden för produktion av komfortkyla ska anges om mätvärdena avser producerad energi. </a:t>
          </a:r>
        </a:p>
        <a:p>
          <a:pPr marL="0" marR="0" lvl="0" indent="0" algn="l" defTabSz="914400" eaLnBrk="1" fontAlgn="auto" latinLnBrk="0" hangingPunct="1">
            <a:lnSpc>
              <a:spcPct val="100000"/>
            </a:lnSpc>
            <a:spcBef>
              <a:spcPts val="0"/>
            </a:spcBef>
            <a:spcAft>
              <a:spcPts val="0"/>
            </a:spcAft>
            <a:buClrTx/>
            <a:buSzTx/>
            <a:buFontTx/>
            <a:buNone/>
            <a:tabLst/>
            <a:defRPr/>
          </a:pPr>
          <a:endParaRPr lang="sv-SE" sz="1200" b="1">
            <a:solidFill>
              <a:sysClr val="windowText" lastClr="000000"/>
            </a:solidFill>
          </a:endParaRPr>
        </a:p>
      </xdr:txBody>
    </xdr:sp>
    <xdr:clientData/>
  </xdr:twoCellAnchor>
  <xdr:twoCellAnchor>
    <xdr:from>
      <xdr:col>1</xdr:col>
      <xdr:colOff>137848</xdr:colOff>
      <xdr:row>114</xdr:row>
      <xdr:rowOff>72760</xdr:rowOff>
    </xdr:from>
    <xdr:to>
      <xdr:col>4</xdr:col>
      <xdr:colOff>10584</xdr:colOff>
      <xdr:row>124</xdr:row>
      <xdr:rowOff>104511</xdr:rowOff>
    </xdr:to>
    <xdr:sp macro="" textlink="">
      <xdr:nvSpPr>
        <xdr:cNvPr id="5" name="Rektangel 15">
          <a:extLst>
            <a:ext uri="{FF2B5EF4-FFF2-40B4-BE49-F238E27FC236}">
              <a16:creationId xmlns:a16="http://schemas.microsoft.com/office/drawing/2014/main" id="{0DD1EC32-D0F3-4752-B31B-0296C33A4A74}"/>
            </a:ext>
          </a:extLst>
        </xdr:cNvPr>
        <xdr:cNvSpPr/>
      </xdr:nvSpPr>
      <xdr:spPr>
        <a:xfrm>
          <a:off x="385498" y="24437710"/>
          <a:ext cx="6768836" cy="2127251"/>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energianvändning för fastighetsenergi</a:t>
          </a:r>
        </a:p>
        <a:p>
          <a:pPr algn="l"/>
          <a:r>
            <a:rPr lang="sv-SE" sz="1100" b="0">
              <a:solidFill>
                <a:sysClr val="windowText" lastClr="000000"/>
              </a:solidFill>
            </a:rPr>
            <a:t>Ange </a:t>
          </a:r>
          <a:r>
            <a:rPr lang="sv-SE" sz="1100" b="0" baseline="0">
              <a:solidFill>
                <a:sysClr val="windowText" lastClr="000000"/>
              </a:solidFill>
            </a:rPr>
            <a:t>uppmätt </a:t>
          </a:r>
          <a:r>
            <a:rPr lang="sv-SE" sz="1100" b="0">
              <a:solidFill>
                <a:sysClr val="windowText" lastClr="000000"/>
              </a:solidFill>
            </a:rPr>
            <a:t>fastighetsenergi enligt BBR. </a:t>
          </a:r>
          <a:r>
            <a:rPr lang="sv-SE" sz="1100" b="0" baseline="0">
              <a:solidFill>
                <a:sysClr val="windowText" lastClr="000000"/>
              </a:solidFill>
            </a:rPr>
            <a:t>Fastighetsenergi är </a:t>
          </a:r>
          <a:r>
            <a:rPr lang="sv-SE" sz="1100" b="0">
              <a:solidFill>
                <a:sysClr val="windowText" lastClr="000000"/>
              </a:solidFill>
            </a:rPr>
            <a:t>oftast el men om apparater knutna till fastighetsens drift</a:t>
          </a:r>
          <a:r>
            <a:rPr lang="sv-SE" sz="1100" b="0" baseline="0">
              <a:solidFill>
                <a:sysClr val="windowText" lastClr="000000"/>
              </a:solidFill>
            </a:rPr>
            <a:t> </a:t>
          </a:r>
          <a:r>
            <a:rPr lang="sv-SE" sz="1100" b="0">
              <a:solidFill>
                <a:sysClr val="windowText" lastClr="000000"/>
              </a:solidFill>
            </a:rPr>
            <a:t> förses med annat än el ska mätning ske separat för respektive energibärare, såvida inte schabloner kan användas. Antal och typ av energikällor väljs i rullgardinsmenyer.</a:t>
          </a:r>
        </a:p>
        <a:p>
          <a:pPr algn="l"/>
          <a:endParaRPr lang="sv-SE" sz="1100" b="0">
            <a:solidFill>
              <a:sysClr val="windowText" lastClr="000000"/>
            </a:solidFill>
          </a:endParaRPr>
        </a:p>
        <a:p>
          <a:pPr algn="l"/>
          <a:r>
            <a:rPr lang="sv-SE" sz="1100" b="0">
              <a:solidFill>
                <a:sysClr val="windowText" lastClr="000000"/>
              </a:solidFill>
            </a:rPr>
            <a:t>Observera vad som faktiskt</a:t>
          </a:r>
          <a:r>
            <a:rPr lang="sv-SE" sz="1100" b="0" baseline="0">
              <a:solidFill>
                <a:sysClr val="windowText" lastClr="000000"/>
              </a:solidFill>
            </a:rPr>
            <a:t> </a:t>
          </a:r>
          <a:r>
            <a:rPr lang="sv-SE" sz="1100" b="0">
              <a:solidFill>
                <a:sysClr val="windowText" lastClr="000000"/>
              </a:solidFill>
            </a:rPr>
            <a:t>ingår i fastighetsenergi enligt BBR och vad som bör tas bort, så som utvändig elanvändning på tomtmark. Förtydliganden om gränsdragning finns i Boverkets gränsdragningslista (länken finns i </a:t>
          </a:r>
          <a:r>
            <a:rPr lang="sv-SE" sz="1100" b="0" i="1">
              <a:solidFill>
                <a:sysClr val="windowText" lastClr="000000"/>
              </a:solidFill>
            </a:rPr>
            <a:t>Referenser och källor </a:t>
          </a:r>
          <a:r>
            <a:rPr lang="sv-SE" sz="1100" b="0">
              <a:solidFill>
                <a:sysClr val="windowText" lastClr="000000"/>
              </a:solidFill>
            </a:rPr>
            <a:t>i manualerna </a:t>
          </a:r>
          <a:r>
            <a:rPr lang="sv-SE" sz="1100" b="0" i="1">
              <a:solidFill>
                <a:sysClr val="windowText" lastClr="000000"/>
              </a:solidFill>
            </a:rPr>
            <a:t>GreenBuilding 8.0 Ny Byggnad </a:t>
          </a:r>
          <a:r>
            <a:rPr lang="sv-SE" sz="1100" b="0">
              <a:solidFill>
                <a:sysClr val="windowText" lastClr="000000"/>
              </a:solidFill>
            </a:rPr>
            <a:t>eller </a:t>
          </a:r>
          <a:r>
            <a:rPr lang="sv-SE" sz="1100" b="0" i="1">
              <a:solidFill>
                <a:sysClr val="windowText" lastClr="000000"/>
              </a:solidFill>
            </a:rPr>
            <a:t>GreenBuilding 8.0  Befintlig Byggnad</a:t>
          </a:r>
          <a:r>
            <a:rPr lang="sv-SE" sz="1100" b="0">
              <a:solidFill>
                <a:sysClr val="windowText" lastClr="000000"/>
              </a:solidFill>
            </a:rPr>
            <a:t>).</a:t>
          </a:r>
        </a:p>
        <a:p>
          <a:pPr algn="l"/>
          <a:endParaRPr lang="sv-SE" sz="1100" b="0">
            <a:solidFill>
              <a:sysClr val="windowText" lastClr="000000"/>
            </a:solidFill>
          </a:endParaRPr>
        </a:p>
        <a:p>
          <a:pPr algn="l"/>
          <a:r>
            <a:rPr lang="sv-SE" sz="1100" b="0">
              <a:solidFill>
                <a:sysClr val="windowText" lastClr="000000"/>
              </a:solidFill>
            </a:rPr>
            <a:t>Energi för elvärmda badrumsgolv </a:t>
          </a:r>
          <a:r>
            <a:rPr lang="sv-SE" sz="1100" b="0" baseline="0">
              <a:solidFill>
                <a:sysClr val="windowText" lastClr="000000"/>
              </a:solidFill>
            </a:rPr>
            <a:t>ska kunna mätas och anges separat, men i fall separat mätning inte finns kan schablonvärden användas. Energi för de elvärmda badrumsgolvens ska därefter automatiskt adderas till energi för uppvärmning vid normalisering av energianvändningen. </a:t>
          </a:r>
          <a:endParaRPr lang="sv-SE" sz="1100" b="0">
            <a:solidFill>
              <a:sysClr val="windowText" lastClr="000000"/>
            </a:solidFill>
          </a:endParaRPr>
        </a:p>
      </xdr:txBody>
    </xdr:sp>
    <xdr:clientData/>
  </xdr:twoCellAnchor>
  <xdr:twoCellAnchor>
    <xdr:from>
      <xdr:col>2</xdr:col>
      <xdr:colOff>2646</xdr:colOff>
      <xdr:row>133</xdr:row>
      <xdr:rowOff>122237</xdr:rowOff>
    </xdr:from>
    <xdr:to>
      <xdr:col>4</xdr:col>
      <xdr:colOff>26987</xdr:colOff>
      <xdr:row>149</xdr:row>
      <xdr:rowOff>95249</xdr:rowOff>
    </xdr:to>
    <xdr:sp macro="" textlink="">
      <xdr:nvSpPr>
        <xdr:cNvPr id="6" name="Rektangel 15">
          <a:extLst>
            <a:ext uri="{FF2B5EF4-FFF2-40B4-BE49-F238E27FC236}">
              <a16:creationId xmlns:a16="http://schemas.microsoft.com/office/drawing/2014/main" id="{A62CD68C-C48C-411E-BA9D-98745102151B}"/>
            </a:ext>
          </a:extLst>
        </xdr:cNvPr>
        <xdr:cNvSpPr/>
      </xdr:nvSpPr>
      <xdr:spPr>
        <a:xfrm>
          <a:off x="478896" y="29197300"/>
          <a:ext cx="7025216" cy="3402012"/>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tillgodogjord egenproducerad</a:t>
          </a:r>
          <a:r>
            <a:rPr lang="sv-SE" sz="1200" b="1" baseline="0">
              <a:solidFill>
                <a:sysClr val="windowText" lastClr="000000"/>
              </a:solidFill>
            </a:rPr>
            <a:t> och/eller återvunnen energi</a:t>
          </a:r>
          <a:endParaRPr lang="sv-SE" sz="1200" b="1">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100" b="0">
              <a:solidFill>
                <a:sysClr val="windowText" lastClr="000000"/>
              </a:solidFill>
            </a:rPr>
            <a:t>Ange mätvärden för uppmätt tillgodogjord</a:t>
          </a:r>
          <a:r>
            <a:rPr lang="sv-SE" sz="1100" b="0" baseline="0">
              <a:solidFill>
                <a:sysClr val="windowText" lastClr="000000"/>
              </a:solidFill>
            </a:rPr>
            <a:t> energi från </a:t>
          </a:r>
          <a:r>
            <a:rPr lang="sv-SE" sz="1100" b="0">
              <a:solidFill>
                <a:sysClr val="windowText" lastClr="000000"/>
              </a:solidFill>
            </a:rPr>
            <a:t>solfångare, solceller, avloppsvärmeväxlare eller processvärme för byggnadens energianvändning</a:t>
          </a:r>
          <a:r>
            <a:rPr lang="sv-SE" sz="1100" b="0" baseline="0">
              <a:solidFill>
                <a:sysClr val="windowText" lastClr="000000"/>
              </a:solidFill>
            </a:rPr>
            <a:t> enligt BBR. </a:t>
          </a:r>
          <a:r>
            <a:rPr lang="sv-SE" sz="1100" b="0" baseline="0">
              <a:solidFill>
                <a:sysClr val="windowText" lastClr="000000"/>
              </a:solidFill>
              <a:effectLst/>
              <a:latin typeface="+mn-lt"/>
              <a:ea typeface="+mn-ea"/>
              <a:cs typeface="+mn-cs"/>
            </a:rPr>
            <a:t>Mätvärden ska redovisas separat för uppvärmning, tappvarmvatten, komfortkyla och fastighetsenergi. Även återvunnen avloppsenergi och processvärme redovisas separat. </a:t>
          </a:r>
        </a:p>
        <a:p>
          <a:pPr marL="0" marR="0" lvl="0" indent="0" algn="l" defTabSz="914400" eaLnBrk="1" fontAlgn="auto" latinLnBrk="0" hangingPunct="1">
            <a:lnSpc>
              <a:spcPct val="100000"/>
            </a:lnSpc>
            <a:spcBef>
              <a:spcPts val="0"/>
            </a:spcBef>
            <a:spcAft>
              <a:spcPts val="0"/>
            </a:spcAft>
            <a:buClrTx/>
            <a:buSzTx/>
            <a:buFontTx/>
            <a:buNone/>
            <a:tabLst/>
            <a:defRPr/>
          </a:pPr>
          <a:endParaRPr lang="sv-SE" sz="1100" b="0" baseline="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100" b="0" baseline="0">
              <a:solidFill>
                <a:sysClr val="windowText" lastClr="000000"/>
              </a:solidFill>
              <a:effectLst/>
              <a:latin typeface="+mn-lt"/>
              <a:ea typeface="+mn-ea"/>
              <a:cs typeface="+mn-cs"/>
            </a:rPr>
            <a:t>Antal och typ av energiproduktionssystem och återvinning väljs i rullgardinsmenyer.</a:t>
          </a:r>
          <a:r>
            <a:rPr lang="sv-SE" sz="1100" b="0" baseline="0">
              <a:solidFill>
                <a:sysClr val="windowText" lastClr="000000"/>
              </a:solidFill>
            </a:rPr>
            <a:t> </a:t>
          </a:r>
          <a:r>
            <a:rPr lang="sv-SE" sz="1100" b="0" baseline="0">
              <a:solidFill>
                <a:sysClr val="windowText" lastClr="000000"/>
              </a:solidFill>
              <a:effectLst/>
              <a:latin typeface="+mn-lt"/>
              <a:ea typeface="+mn-ea"/>
              <a:cs typeface="+mn-cs"/>
            </a:rPr>
            <a:t>Information om vilken energi som kan tillgodoräknas byggnadens energianvändning enligt BBR och </a:t>
          </a:r>
          <a:r>
            <a:rPr lang="sv-SE" sz="1100">
              <a:solidFill>
                <a:sysClr val="windowText" lastClr="000000"/>
              </a:solidFill>
              <a:effectLst/>
              <a:latin typeface="+mn-lt"/>
              <a:ea typeface="+mn-ea"/>
              <a:cs typeface="+mn-cs"/>
            </a:rPr>
            <a:t>med hänsyn till SGBCs säkrav, </a:t>
          </a:r>
          <a:r>
            <a:rPr lang="sv-SE" sz="1100" b="0" baseline="0">
              <a:solidFill>
                <a:sysClr val="windowText" lastClr="000000"/>
              </a:solidFill>
              <a:effectLst/>
              <a:latin typeface="+mn-lt"/>
              <a:ea typeface="+mn-ea"/>
              <a:cs typeface="+mn-cs"/>
            </a:rPr>
            <a:t>har sammanställts i Svebys </a:t>
          </a:r>
          <a:r>
            <a:rPr lang="sv-SE" sz="1100" b="0" i="1" baseline="0">
              <a:solidFill>
                <a:sysClr val="windowText" lastClr="000000"/>
              </a:solidFill>
              <a:effectLst/>
              <a:latin typeface="+mn-lt"/>
              <a:ea typeface="+mn-ea"/>
              <a:cs typeface="+mn-cs"/>
            </a:rPr>
            <a:t>Mätföreskrifter 2.0 </a:t>
          </a:r>
          <a:r>
            <a:rPr lang="sv-SE" sz="1100" b="0" i="0" baseline="0">
              <a:solidFill>
                <a:sysClr val="windowText" lastClr="000000"/>
              </a:solidFill>
              <a:effectLst/>
              <a:latin typeface="+mn-lt"/>
              <a:ea typeface="+mn-ea"/>
              <a:cs typeface="+mn-cs"/>
            </a:rPr>
            <a:t>samt i </a:t>
          </a:r>
          <a:r>
            <a:rPr lang="sv-SE" sz="1100" b="0" i="1" baseline="0">
              <a:solidFill>
                <a:sysClr val="windowText" lastClr="000000"/>
              </a:solidFill>
              <a:effectLst/>
              <a:latin typeface="+mn-lt"/>
              <a:ea typeface="+mn-ea"/>
              <a:cs typeface="+mn-cs"/>
            </a:rPr>
            <a:t>GreenBuildings mall för Mätplan </a:t>
          </a:r>
          <a:r>
            <a:rPr lang="sv-SE" sz="1100" b="0" baseline="0">
              <a:solidFill>
                <a:sysClr val="windowText" lastClr="000000"/>
              </a:solidFill>
              <a:effectLst/>
              <a:latin typeface="+mn-lt"/>
              <a:ea typeface="+mn-ea"/>
              <a:cs typeface="+mn-cs"/>
            </a:rPr>
            <a:t>och i </a:t>
          </a:r>
          <a:r>
            <a:rPr lang="sv-SE" sz="1100" b="0" i="1" baseline="0">
              <a:solidFill>
                <a:sysClr val="windowText" lastClr="000000"/>
              </a:solidFill>
              <a:effectLst/>
              <a:latin typeface="+mn-lt"/>
              <a:ea typeface="+mn-ea"/>
              <a:cs typeface="+mn-cs"/>
            </a:rPr>
            <a:t>GreenBuilding 8.0 NyByggnad </a:t>
          </a:r>
          <a:r>
            <a:rPr lang="sv-SE" sz="1100" b="0" baseline="0">
              <a:solidFill>
                <a:sysClr val="windowText" lastClr="000000"/>
              </a:solidFill>
              <a:effectLst/>
              <a:latin typeface="+mn-lt"/>
              <a:ea typeface="+mn-ea"/>
              <a:cs typeface="+mn-cs"/>
            </a:rPr>
            <a:t>eller </a:t>
          </a:r>
          <a:r>
            <a:rPr lang="sv-SE" sz="1100" b="0" i="1" baseline="0">
              <a:solidFill>
                <a:sysClr val="windowText" lastClr="000000"/>
              </a:solidFill>
              <a:effectLst/>
              <a:latin typeface="+mn-lt"/>
              <a:ea typeface="+mn-ea"/>
              <a:cs typeface="+mn-cs"/>
            </a:rPr>
            <a:t>Befintlig byggnad</a:t>
          </a:r>
          <a:r>
            <a:rPr lang="sv-SE" sz="1100" b="0" i="0" baseline="0">
              <a:solidFill>
                <a:sysClr val="windowText" lastClr="000000"/>
              </a:solidFill>
              <a:effectLst/>
              <a:latin typeface="+mn-lt"/>
              <a:ea typeface="+mn-ea"/>
              <a:cs typeface="+mn-cs"/>
            </a:rPr>
            <a:t> manual</a:t>
          </a:r>
          <a:r>
            <a:rPr lang="sv-SE" sz="1100" b="0" baseline="0">
              <a:solidFill>
                <a:sysClr val="windowText" lastClr="000000"/>
              </a:solidFill>
              <a:effectLst/>
              <a:latin typeface="+mn-lt"/>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endParaRPr lang="sv-SE" sz="1100" b="0" baseline="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100" b="0">
              <a:solidFill>
                <a:sysClr val="windowText" lastClr="000000"/>
              </a:solidFill>
              <a:effectLst/>
              <a:latin typeface="+mn-lt"/>
              <a:ea typeface="+mn-ea"/>
              <a:cs typeface="+mn-cs"/>
            </a:rPr>
            <a:t>Det ska</a:t>
          </a:r>
          <a:r>
            <a:rPr lang="sv-SE" sz="1100" b="0" baseline="0">
              <a:solidFill>
                <a:sysClr val="windowText" lastClr="000000"/>
              </a:solidFill>
              <a:effectLst/>
              <a:latin typeface="+mn-lt"/>
              <a:ea typeface="+mn-ea"/>
              <a:cs typeface="+mn-cs"/>
            </a:rPr>
            <a:t> </a:t>
          </a:r>
          <a:r>
            <a:rPr lang="sv-SE" sz="1100" b="0">
              <a:solidFill>
                <a:sysClr val="windowText" lastClr="000000"/>
              </a:solidFill>
              <a:effectLst/>
              <a:latin typeface="+mn-lt"/>
              <a:ea typeface="+mn-ea"/>
              <a:cs typeface="+mn-cs"/>
            </a:rPr>
            <a:t>noteras var energimätare för tillgodogjord egenproducerad</a:t>
          </a:r>
          <a:r>
            <a:rPr lang="sv-SE" sz="1100" b="0" baseline="0">
              <a:solidFill>
                <a:sysClr val="windowText" lastClr="000000"/>
              </a:solidFill>
              <a:effectLst/>
              <a:latin typeface="+mn-lt"/>
              <a:ea typeface="+mn-ea"/>
              <a:cs typeface="+mn-cs"/>
            </a:rPr>
            <a:t> eller återvunnen energi installerats i förhållande till övriga energimätare </a:t>
          </a:r>
          <a:r>
            <a:rPr lang="sv-SE" sz="1100" b="0">
              <a:solidFill>
                <a:sysClr val="windowText" lastClr="000000"/>
              </a:solidFill>
              <a:effectLst/>
              <a:latin typeface="+mn-lt"/>
              <a:ea typeface="+mn-ea"/>
              <a:cs typeface="+mn-cs"/>
            </a:rPr>
            <a:t>för mätning</a:t>
          </a:r>
          <a:r>
            <a:rPr lang="sv-SE" sz="1100" b="0" baseline="0">
              <a:solidFill>
                <a:sysClr val="windowText" lastClr="000000"/>
              </a:solidFill>
              <a:effectLst/>
              <a:latin typeface="+mn-lt"/>
              <a:ea typeface="+mn-ea"/>
              <a:cs typeface="+mn-cs"/>
            </a:rPr>
            <a:t> av uppvärmning, tappvarmvatten, komfortkyla, fastighetsenergi.  Om sådan mätare installerats efter mätare för en specifik energipost (exempelvis om debiteringsmätare används) har den specifika energiposten redan tagit hänsyn till tillgodogjord energi och ska därmed inte dras av ytterligare från uppmätt energi. Valet görs från rullgardingsmenyn under "Placering av mätare". </a:t>
          </a:r>
          <a:endParaRPr lang="sv-SE">
            <a:solidFill>
              <a:sysClr val="windowText" lastClr="000000"/>
            </a:solidFill>
            <a:effectLst/>
          </a:endParaRPr>
        </a:p>
        <a:p>
          <a:pPr algn="l"/>
          <a:endParaRPr lang="sv-SE" sz="1100" b="0" baseline="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endParaRPr lang="sv-SE" sz="1100" b="0" baseline="0">
            <a:solidFill>
              <a:sysClr val="windowText" lastClr="000000"/>
            </a:solidFill>
          </a:endParaRPr>
        </a:p>
      </xdr:txBody>
    </xdr:sp>
    <xdr:clientData/>
  </xdr:twoCellAnchor>
  <xdr:twoCellAnchor>
    <xdr:from>
      <xdr:col>5</xdr:col>
      <xdr:colOff>39424</xdr:colOff>
      <xdr:row>181</xdr:row>
      <xdr:rowOff>98690</xdr:rowOff>
    </xdr:from>
    <xdr:to>
      <xdr:col>12</xdr:col>
      <xdr:colOff>35717</xdr:colOff>
      <xdr:row>197</xdr:row>
      <xdr:rowOff>21167</xdr:rowOff>
    </xdr:to>
    <xdr:sp macro="" textlink="">
      <xdr:nvSpPr>
        <xdr:cNvPr id="7" name="Rektangel 15">
          <a:extLst>
            <a:ext uri="{FF2B5EF4-FFF2-40B4-BE49-F238E27FC236}">
              <a16:creationId xmlns:a16="http://schemas.microsoft.com/office/drawing/2014/main" id="{9971ECCD-AB2B-45FC-9CA6-71BDBEA827BD}"/>
            </a:ext>
          </a:extLst>
        </xdr:cNvPr>
        <xdr:cNvSpPr/>
      </xdr:nvSpPr>
      <xdr:spPr>
        <a:xfrm>
          <a:off x="7384257" y="38928940"/>
          <a:ext cx="7722127" cy="3256227"/>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Uppmätta inomhustemperatur under uppvärmningssäsongen</a:t>
          </a:r>
        </a:p>
        <a:p>
          <a:pPr algn="l"/>
          <a:r>
            <a:rPr lang="sv-SE" sz="1100" b="0">
              <a:solidFill>
                <a:sysClr val="windowText" lastClr="000000"/>
              </a:solidFill>
            </a:rPr>
            <a:t>För normalisering av mätvärden enligt Boverkets föreskrifter</a:t>
          </a:r>
          <a:r>
            <a:rPr lang="sv-SE" sz="1100" b="0" baseline="0">
              <a:solidFill>
                <a:sysClr val="windowText" lastClr="000000"/>
              </a:solidFill>
            </a:rPr>
            <a:t> </a:t>
          </a:r>
          <a:r>
            <a:rPr lang="sv-SE" sz="1100" b="0">
              <a:solidFill>
                <a:sysClr val="windowText" lastClr="000000"/>
              </a:solidFill>
            </a:rPr>
            <a:t>BEN behöver även representativa inomhustemperaturer mätas under uppvärmningssäsongen. Temperaturmätningar i verksamhetsutrymmen eller lägenheter ska representera minst 20 % av den tempererade</a:t>
          </a:r>
          <a:r>
            <a:rPr lang="sv-SE" sz="1100" b="0" baseline="0">
              <a:solidFill>
                <a:sysClr val="windowText" lastClr="000000"/>
              </a:solidFill>
            </a:rPr>
            <a:t> golvarean (Atemp) </a:t>
          </a:r>
          <a:r>
            <a:rPr lang="sv-SE" sz="1100" b="0">
              <a:solidFill>
                <a:sysClr val="windowText" lastClr="000000"/>
              </a:solidFill>
            </a:rPr>
            <a:t>och mätas med minst en givare per våningsplan. För lokalbyggnader finns alternativet</a:t>
          </a:r>
          <a:r>
            <a:rPr lang="sv-SE" sz="1100" b="0" baseline="0">
              <a:solidFill>
                <a:sysClr val="windowText" lastClr="000000"/>
              </a:solidFill>
            </a:rPr>
            <a:t> att</a:t>
          </a:r>
          <a:r>
            <a:rPr lang="sv-SE" sz="1100" b="0">
              <a:solidFill>
                <a:sysClr val="windowText" lastClr="000000"/>
              </a:solidFill>
            </a:rPr>
            <a:t> temperaturmätning istället utgörs</a:t>
          </a:r>
          <a:r>
            <a:rPr lang="sv-SE" sz="1100" b="0" baseline="0">
              <a:solidFill>
                <a:sysClr val="windowText" lastClr="000000"/>
              </a:solidFill>
            </a:rPr>
            <a:t> av en </a:t>
          </a:r>
          <a:r>
            <a:rPr lang="sv-SE" sz="1100" b="0">
              <a:solidFill>
                <a:sysClr val="windowText" lastClr="000000"/>
              </a:solidFill>
            </a:rPr>
            <a:t>kombination av temperaturmätning i frånluft under drifttid och några representativa temperaturgivare i verksamhetsutrymmen under övrig tid. </a:t>
          </a:r>
        </a:p>
        <a:p>
          <a:pPr algn="l"/>
          <a:endParaRPr lang="sv-SE" sz="1100" b="0">
            <a:solidFill>
              <a:sysClr val="windowText" lastClr="000000"/>
            </a:solidFill>
          </a:endParaRPr>
        </a:p>
        <a:p>
          <a:pPr algn="l"/>
          <a:r>
            <a:rPr lang="sv-SE" sz="1100" b="0">
              <a:solidFill>
                <a:sysClr val="windowText" lastClr="000000"/>
              </a:solidFill>
            </a:rPr>
            <a:t>Mätvärdena i tabellen till vänster</a:t>
          </a:r>
          <a:r>
            <a:rPr lang="sv-SE" sz="1100" b="0" baseline="0">
              <a:solidFill>
                <a:sysClr val="windowText" lastClr="000000"/>
              </a:solidFill>
            </a:rPr>
            <a:t> </a:t>
          </a:r>
          <a:r>
            <a:rPr lang="sv-SE" sz="1100" b="0">
              <a:solidFill>
                <a:sysClr val="windowText" lastClr="000000"/>
              </a:solidFill>
            </a:rPr>
            <a:t>ska anges som genomsnittliga</a:t>
          </a:r>
          <a:r>
            <a:rPr lang="sv-SE" sz="1100" b="0" baseline="0">
              <a:solidFill>
                <a:sysClr val="windowText" lastClr="000000"/>
              </a:solidFill>
            </a:rPr>
            <a:t> medelvärden under uppvärmningssäsong för respektive areaandel.  Upp till tre olika areaandelar kan specificeras. </a:t>
          </a:r>
        </a:p>
        <a:p>
          <a:pPr algn="l"/>
          <a:endParaRPr lang="sv-SE" sz="1100" b="0" baseline="0">
            <a:solidFill>
              <a:sysClr val="windowText" lastClr="000000"/>
            </a:solidFill>
          </a:endParaRPr>
        </a:p>
        <a:p>
          <a:pPr algn="l"/>
          <a:r>
            <a:rPr lang="sv-SE" sz="1100" b="0" baseline="0">
              <a:solidFill>
                <a:sysClr val="windowText" lastClr="000000"/>
              </a:solidFill>
            </a:rPr>
            <a:t>En officiell definition av uppvärmningssäsongens längd saknas för närvarande. För schablonmetoden enligt BEN, kan mätvärden från månader utan betydande soltillskott, t.ex. perioden november till och med februari, användas. Användaren kan också specifiera en annan uppvärmningssäsong. Uppvärmningssäsongens start och slut ska anges separat. </a:t>
          </a:r>
        </a:p>
        <a:p>
          <a:pPr algn="l"/>
          <a:endParaRPr lang="sv-SE" sz="1100" b="0" baseline="0">
            <a:solidFill>
              <a:sysClr val="windowText" lastClr="000000"/>
            </a:solidFill>
          </a:endParaRPr>
        </a:p>
        <a:p>
          <a:pPr algn="l"/>
          <a:r>
            <a:rPr lang="sv-SE" sz="1100" b="0" baseline="0">
              <a:solidFill>
                <a:sysClr val="windowText" lastClr="000000"/>
              </a:solidFill>
            </a:rPr>
            <a:t>OBS! Om inomhustemperaturen avviker på grund av ”installationstekniska brister”, ska normalisering med avseende på inomhustemperatur inte utföras. I sådana fall ska indatatabellen lämnas tom. Dock ska uppvärmningssäsongens start och slut anges för normalisering av energianvändning på grund av avvikelser i internlaster. </a:t>
          </a:r>
        </a:p>
        <a:p>
          <a:pPr algn="l"/>
          <a:endParaRPr lang="sv-SE" sz="1100" b="0" baseline="0">
            <a:solidFill>
              <a:sysClr val="windowText" lastClr="000000"/>
            </a:solidFill>
          </a:endParaRPr>
        </a:p>
        <a:p>
          <a:pPr algn="l"/>
          <a:endParaRPr lang="sv-SE" sz="1100" b="0">
            <a:solidFill>
              <a:sysClr val="windowText" lastClr="000000"/>
            </a:solidFill>
          </a:endParaRPr>
        </a:p>
      </xdr:txBody>
    </xdr:sp>
    <xdr:clientData/>
  </xdr:twoCellAnchor>
  <xdr:twoCellAnchor>
    <xdr:from>
      <xdr:col>1</xdr:col>
      <xdr:colOff>198701</xdr:colOff>
      <xdr:row>160</xdr:row>
      <xdr:rowOff>166686</xdr:rowOff>
    </xdr:from>
    <xdr:to>
      <xdr:col>3</xdr:col>
      <xdr:colOff>3417093</xdr:colOff>
      <xdr:row>171</xdr:row>
      <xdr:rowOff>148165</xdr:rowOff>
    </xdr:to>
    <xdr:sp macro="" textlink="">
      <xdr:nvSpPr>
        <xdr:cNvPr id="8" name="Rektangel 15">
          <a:extLst>
            <a:ext uri="{FF2B5EF4-FFF2-40B4-BE49-F238E27FC236}">
              <a16:creationId xmlns:a16="http://schemas.microsoft.com/office/drawing/2014/main" id="{3EDCD475-8F73-413F-8471-E6F3BBB8F54C}"/>
            </a:ext>
          </a:extLst>
        </xdr:cNvPr>
        <xdr:cNvSpPr/>
      </xdr:nvSpPr>
      <xdr:spPr>
        <a:xfrm>
          <a:off x="446351" y="34170936"/>
          <a:ext cx="6685492" cy="2286529"/>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energianvändning för verksamhetsenergi</a:t>
          </a:r>
          <a:r>
            <a:rPr lang="sv-SE" sz="1200" b="1" baseline="0">
              <a:solidFill>
                <a:sysClr val="windowText" lastClr="000000"/>
              </a:solidFill>
            </a:rPr>
            <a:t> eller hushållsenergi</a:t>
          </a:r>
          <a:endParaRPr lang="sv-SE" sz="1200" b="1">
            <a:solidFill>
              <a:sysClr val="windowText" lastClr="000000"/>
            </a:solidFill>
          </a:endParaRPr>
        </a:p>
        <a:p>
          <a:pPr algn="l"/>
          <a:r>
            <a:rPr lang="sv-SE" sz="1100" b="0">
              <a:solidFill>
                <a:sysClr val="windowText" lastClr="000000"/>
              </a:solidFill>
            </a:rPr>
            <a:t>Ange uppmätt verksamhetsenergi eller hushållsenergi.</a:t>
          </a:r>
          <a:r>
            <a:rPr lang="sv-SE" sz="1100" b="0" baseline="0">
              <a:solidFill>
                <a:sysClr val="windowText" lastClr="000000"/>
              </a:solidFill>
            </a:rPr>
            <a:t> </a:t>
          </a:r>
          <a:r>
            <a:rPr lang="sv-SE" sz="1100" b="0">
              <a:solidFill>
                <a:sysClr val="windowText" lastClr="000000"/>
              </a:solidFill>
            </a:rPr>
            <a:t>Verksamhetsenergi eller hushållsenergi är oftast el men om verksamhets- eller hushållsapparater förses med annat än el ska mätning ske separat för respektive energibärare, såvida inte schabloner kan användas. Antal och typ av energikällor väljs i rullgardinsmenyer.</a:t>
          </a:r>
        </a:p>
        <a:p>
          <a:pPr algn="l"/>
          <a:endParaRPr lang="sv-SE" sz="1100" b="0">
            <a:solidFill>
              <a:sysClr val="windowText" lastClr="000000"/>
            </a:solidFill>
          </a:endParaRPr>
        </a:p>
        <a:p>
          <a:pPr algn="l"/>
          <a:r>
            <a:rPr lang="sv-SE" sz="1100" b="0">
              <a:solidFill>
                <a:sysClr val="windowText" lastClr="000000"/>
              </a:solidFill>
            </a:rPr>
            <a:t>Observera vad som ska ingå i hushållsenergi  (t.ex.</a:t>
          </a:r>
          <a:r>
            <a:rPr lang="sv-SE" sz="1100" b="0" baseline="0">
              <a:solidFill>
                <a:sysClr val="windowText" lastClr="000000"/>
              </a:solidFill>
            </a:rPr>
            <a:t> tvättstugor) </a:t>
          </a:r>
          <a:r>
            <a:rPr lang="sv-SE" sz="1100" b="0">
              <a:solidFill>
                <a:sysClr val="windowText" lastClr="000000"/>
              </a:solidFill>
            </a:rPr>
            <a:t>och vad som bör tas bort (t.ex. elgolvvärme). Förtydliganden gällande gränsdragning finns i Boverkets gränsdragningslista (länken</a:t>
          </a:r>
          <a:r>
            <a:rPr lang="sv-SE" sz="1100" b="0" baseline="0">
              <a:solidFill>
                <a:sysClr val="windowText" lastClr="000000"/>
              </a:solidFill>
            </a:rPr>
            <a:t> finns i </a:t>
          </a:r>
          <a:r>
            <a:rPr lang="sv-SE" sz="1100" b="0" i="1">
              <a:solidFill>
                <a:sysClr val="windowText" lastClr="000000"/>
              </a:solidFill>
            </a:rPr>
            <a:t>Referenser och källor</a:t>
          </a:r>
          <a:r>
            <a:rPr lang="sv-SE" sz="1100" b="0" i="1" baseline="0">
              <a:solidFill>
                <a:sysClr val="windowText" lastClr="000000"/>
              </a:solidFill>
            </a:rPr>
            <a:t> </a:t>
          </a:r>
          <a:r>
            <a:rPr lang="sv-SE" sz="1100" b="0" baseline="0">
              <a:solidFill>
                <a:sysClr val="windowText" lastClr="000000"/>
              </a:solidFill>
            </a:rPr>
            <a:t>i manualerna </a:t>
          </a:r>
          <a:r>
            <a:rPr lang="sv-SE" sz="1100" b="0" i="1" baseline="0">
              <a:solidFill>
                <a:sysClr val="windowText" lastClr="000000"/>
              </a:solidFill>
            </a:rPr>
            <a:t>GreenBuilding 8.0 Ny Byggnad </a:t>
          </a:r>
          <a:r>
            <a:rPr lang="sv-SE" sz="1100" b="0" baseline="0">
              <a:solidFill>
                <a:sysClr val="windowText" lastClr="000000"/>
              </a:solidFill>
            </a:rPr>
            <a:t>eller </a:t>
          </a:r>
          <a:r>
            <a:rPr lang="sv-SE" sz="1100" b="0" i="1" baseline="0">
              <a:solidFill>
                <a:sysClr val="windowText" lastClr="000000"/>
              </a:solidFill>
            </a:rPr>
            <a:t>GreenBuilding 8.0  Befintlig Byggnad).</a:t>
          </a:r>
        </a:p>
        <a:p>
          <a:pPr algn="l"/>
          <a:r>
            <a:rPr lang="sv-SE" sz="1100" b="0" baseline="0">
              <a:solidFill>
                <a:sysClr val="windowText" lastClr="000000"/>
              </a:solidFill>
            </a:rPr>
            <a:t> </a:t>
          </a:r>
          <a:endParaRPr lang="sv-SE" sz="1100" b="0">
            <a:solidFill>
              <a:sysClr val="windowText" lastClr="000000"/>
            </a:solidFill>
          </a:endParaRPr>
        </a:p>
        <a:p>
          <a:pPr algn="l"/>
          <a:r>
            <a:rPr lang="sv-SE" sz="1100" b="0">
              <a:solidFill>
                <a:sysClr val="windowText" lastClr="000000"/>
              </a:solidFill>
            </a:rPr>
            <a:t>Detta </a:t>
          </a:r>
          <a:r>
            <a:rPr lang="sv-SE" sz="1100" b="0" baseline="0">
              <a:solidFill>
                <a:sysClr val="windowText" lastClr="000000"/>
              </a:solidFill>
            </a:rPr>
            <a:t>verktyget kan användas för normalisering av energianvändningen orsakad av avvikelser i internlaster i bostäder. Motsvarande korrigering för lokaler behöver göras med så kallad dynamisk energiberäkning. </a:t>
          </a:r>
        </a:p>
      </xdr:txBody>
    </xdr:sp>
    <xdr:clientData/>
  </xdr:twoCellAnchor>
  <xdr:twoCellAnchor>
    <xdr:from>
      <xdr:col>3</xdr:col>
      <xdr:colOff>2933663</xdr:colOff>
      <xdr:row>0</xdr:row>
      <xdr:rowOff>190687</xdr:rowOff>
    </xdr:from>
    <xdr:to>
      <xdr:col>11</xdr:col>
      <xdr:colOff>1288333</xdr:colOff>
      <xdr:row>9</xdr:row>
      <xdr:rowOff>235667</xdr:rowOff>
    </xdr:to>
    <xdr:sp macro="" textlink="">
      <xdr:nvSpPr>
        <xdr:cNvPr id="9" name="Rektangel 15">
          <a:extLst>
            <a:ext uri="{FF2B5EF4-FFF2-40B4-BE49-F238E27FC236}">
              <a16:creationId xmlns:a16="http://schemas.microsoft.com/office/drawing/2014/main" id="{7B720C03-6B77-461F-B35B-ACB4DFCC8B45}"/>
            </a:ext>
          </a:extLst>
        </xdr:cNvPr>
        <xdr:cNvSpPr/>
      </xdr:nvSpPr>
      <xdr:spPr>
        <a:xfrm>
          <a:off x="6660319" y="190687"/>
          <a:ext cx="8141608" cy="2378605"/>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indent="0" algn="l"/>
          <a:r>
            <a:rPr lang="sv-SE" sz="1200" b="0" baseline="0">
              <a:solidFill>
                <a:sysClr val="windowText" lastClr="000000"/>
              </a:solidFill>
              <a:latin typeface="+mn-lt"/>
              <a:ea typeface="+mn-ea"/>
              <a:cs typeface="+mn-cs"/>
            </a:rPr>
            <a:t>I denna flik ska uppmätt energi för uppvärmning, tappvarmvatten, komfortkyla, fastighetsenergi och hushållsenergi specificeras för referensåret. Informationen ska specificeras bara för GreenBuilding certifiering av en befintlig byggnad enligt </a:t>
          </a:r>
          <a:r>
            <a:rPr lang="sv-SE" sz="1200" b="0" i="1" baseline="0">
              <a:solidFill>
                <a:sysClr val="windowText" lastClr="000000"/>
              </a:solidFill>
              <a:latin typeface="+mn-lt"/>
              <a:ea typeface="+mn-ea"/>
              <a:cs typeface="+mn-cs"/>
            </a:rPr>
            <a:t>Kriterium 6- Energirenovering</a:t>
          </a:r>
          <a:r>
            <a:rPr lang="sv-SE" sz="1200" b="0" baseline="0">
              <a:solidFill>
                <a:sysClr val="windowText" lastClr="000000"/>
              </a:solidFill>
              <a:latin typeface="+mn-lt"/>
              <a:ea typeface="+mn-ea"/>
              <a:cs typeface="+mn-cs"/>
            </a:rPr>
            <a:t>. Mätvärdena behöver anges separat för respektive energibärare (energikälla), exempelvis el, fjärrvärme, biobränsle, gas, osv.  för en sammanhängande 12-månadersperiod. </a:t>
          </a:r>
        </a:p>
        <a:p>
          <a:pPr marL="0" indent="0" algn="l"/>
          <a:endParaRPr lang="sv-SE" sz="1200" b="0" baseline="0">
            <a:solidFill>
              <a:sysClr val="windowText" lastClr="000000"/>
            </a:solidFill>
            <a:latin typeface="+mn-lt"/>
            <a:ea typeface="+mn-ea"/>
            <a:cs typeface="+mn-cs"/>
          </a:endParaRPr>
        </a:p>
        <a:p>
          <a:pPr marL="0" indent="0" algn="l"/>
          <a:r>
            <a:rPr lang="sv-SE" sz="1200" b="0" baseline="0">
              <a:solidFill>
                <a:sysClr val="windowText" lastClr="000000"/>
              </a:solidFill>
              <a:latin typeface="+mn-lt"/>
              <a:ea typeface="+mn-ea"/>
              <a:cs typeface="+mn-cs"/>
            </a:rPr>
            <a:t>Mätdata som behövs för att normalisera och beräkna en byggnadens energiprestanda baseras på mätanvisningar som finns i GreenBuilding mall för Mätplan, vilken grundas på Svebys ”Mätanvisningar version 2.0”. Tänk på att mätuppgifter vid behov bearbetas före normalisering av mätvärden. Mer information om hantering av mätdata finns i Svebys "Verifieringsanvisningar version 2.0" och i manualerna GreenBuilding 8.0 Ny Byggnad eller GreenBuilding 8.0  Befintlig Byggnad.</a:t>
          </a:r>
        </a:p>
        <a:p>
          <a:pPr marL="0" indent="0" algn="l"/>
          <a:endParaRPr lang="sv-SE" sz="1200" b="0" baseline="0">
            <a:solidFill>
              <a:sysClr val="windowText" lastClr="000000"/>
            </a:solidFill>
            <a:latin typeface="+mn-lt"/>
            <a:ea typeface="+mn-ea"/>
            <a:cs typeface="+mn-cs"/>
          </a:endParaRPr>
        </a:p>
        <a:p>
          <a:pPr marL="0" indent="0" algn="l"/>
          <a:r>
            <a:rPr lang="sv-SE" sz="1200" b="0" baseline="0">
              <a:solidFill>
                <a:sysClr val="windowText" lastClr="000000"/>
              </a:solidFill>
              <a:latin typeface="+mn-lt"/>
              <a:ea typeface="+mn-ea"/>
              <a:cs typeface="+mn-cs"/>
            </a:rPr>
            <a:t>OBS! Endast gröna celler fylls i. Gråa celler beräknas eller länkas automatiskt. Under varje energipost finns också förklarande text. Hjälptexter finns även vid gröna rutor där indata matas in. </a:t>
          </a:r>
        </a:p>
        <a:p>
          <a:pPr marL="0" indent="0" algn="l"/>
          <a:endParaRPr lang="sv-SE" sz="1050" b="0" baseline="0">
            <a:solidFill>
              <a:sysClr val="windowText" lastClr="000000"/>
            </a:solidFill>
            <a:latin typeface="+mn-lt"/>
            <a:ea typeface="+mn-ea"/>
            <a:cs typeface="+mn-cs"/>
          </a:endParaRPr>
        </a:p>
        <a:p>
          <a:pPr marL="0" indent="0" algn="l"/>
          <a:endParaRPr lang="sv-SE" sz="1050" b="0" baseline="0">
            <a:solidFill>
              <a:sysClr val="windowText" lastClr="000000"/>
            </a:solidFill>
            <a:latin typeface="+mn-lt"/>
            <a:ea typeface="+mn-ea"/>
            <a:cs typeface="+mn-cs"/>
          </a:endParaRPr>
        </a:p>
        <a:p>
          <a:pPr marL="0" indent="0" algn="l"/>
          <a:endParaRPr lang="sv-SE" sz="1050" b="0" baseline="0">
            <a:solidFill>
              <a:sysClr val="windowText" lastClr="000000"/>
            </a:solidFill>
            <a:latin typeface="+mn-lt"/>
            <a:ea typeface="+mn-ea"/>
            <a:cs typeface="+mn-cs"/>
          </a:endParaRPr>
        </a:p>
        <a:p>
          <a:pPr marL="0" indent="0" algn="l"/>
          <a:endParaRPr lang="sv-SE" sz="1050" b="0" baseline="0">
            <a:solidFill>
              <a:sysClr val="windowText" lastClr="000000"/>
            </a:solidFill>
            <a:latin typeface="+mn-lt"/>
            <a:ea typeface="+mn-ea"/>
            <a:cs typeface="+mn-cs"/>
          </a:endParaRPr>
        </a:p>
        <a:p>
          <a:pPr marL="0" indent="0" algn="l"/>
          <a:endParaRPr lang="sv-SE" sz="1050" b="0" baseline="0">
            <a:solidFill>
              <a:schemeClr val="tx1"/>
            </a:solidFill>
            <a:effectLst/>
            <a:latin typeface="+mn-lt"/>
            <a:ea typeface="+mn-ea"/>
            <a:cs typeface="+mn-cs"/>
          </a:endParaRPr>
        </a:p>
        <a:p>
          <a:pPr marL="0" indent="0" algn="l"/>
          <a:endParaRPr lang="sv-SE" sz="1050" b="0" baseline="0">
            <a:solidFill>
              <a:schemeClr val="tx1"/>
            </a:solidFill>
            <a:latin typeface="+mn-lt"/>
            <a:ea typeface="+mn-ea"/>
            <a:cs typeface="+mn-cs"/>
          </a:endParaRPr>
        </a:p>
      </xdr:txBody>
    </xdr:sp>
    <xdr:clientData/>
  </xdr:twoCellAnchor>
  <xdr:twoCellAnchor editAs="oneCell">
    <xdr:from>
      <xdr:col>2</xdr:col>
      <xdr:colOff>0</xdr:colOff>
      <xdr:row>0</xdr:row>
      <xdr:rowOff>0</xdr:rowOff>
    </xdr:from>
    <xdr:to>
      <xdr:col>2</xdr:col>
      <xdr:colOff>1238251</xdr:colOff>
      <xdr:row>4</xdr:row>
      <xdr:rowOff>103728</xdr:rowOff>
    </xdr:to>
    <xdr:pic>
      <xdr:nvPicPr>
        <xdr:cNvPr id="12" name="Bildobjekt 11">
          <a:extLst>
            <a:ext uri="{FF2B5EF4-FFF2-40B4-BE49-F238E27FC236}">
              <a16:creationId xmlns:a16="http://schemas.microsoft.com/office/drawing/2014/main" id="{B1DEA8A3-FD2A-407B-80DE-1B7FC50C100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64344" y="0"/>
          <a:ext cx="1238251" cy="12229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350306</xdr:colOff>
      <xdr:row>0</xdr:row>
      <xdr:rowOff>295277</xdr:rowOff>
    </xdr:from>
    <xdr:to>
      <xdr:col>5</xdr:col>
      <xdr:colOff>3810000</xdr:colOff>
      <xdr:row>3</xdr:row>
      <xdr:rowOff>142875</xdr:rowOff>
    </xdr:to>
    <xdr:sp macro="" textlink="">
      <xdr:nvSpPr>
        <xdr:cNvPr id="3" name="Rektangel 15">
          <a:extLst>
            <a:ext uri="{FF2B5EF4-FFF2-40B4-BE49-F238E27FC236}">
              <a16:creationId xmlns:a16="http://schemas.microsoft.com/office/drawing/2014/main" id="{DE2AC72B-44CE-450B-9F52-FEA3720A6B60}"/>
            </a:ext>
          </a:extLst>
        </xdr:cNvPr>
        <xdr:cNvSpPr/>
      </xdr:nvSpPr>
      <xdr:spPr>
        <a:xfrm>
          <a:off x="5886712" y="295277"/>
          <a:ext cx="6269569" cy="1157286"/>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indent="0" algn="l"/>
          <a:r>
            <a:rPr lang="sv-SE" sz="1200" b="0" baseline="0">
              <a:solidFill>
                <a:sysClr val="windowText" lastClr="000000"/>
              </a:solidFill>
              <a:latin typeface="+mn-lt"/>
              <a:ea typeface="+mn-ea"/>
              <a:cs typeface="+mn-cs"/>
            </a:rPr>
            <a:t>I denna flik summeras byggnadens uppmätt energianvändning (BBR energi), normaliserad energianvändning och beräknat primärenergital enligt BBR25 eller BBR29. Resultatet används för bedömning av om byggnaden uppfyller Kriterium 6 i GreenBuildings certifiering 8.0 för nya byggnader eller Kriterium 6 alternativt Kriterium 7 för befintliga byggnader. Även byggnadens klimatpåverkan av energianvändningen redovisas för information. </a:t>
          </a:r>
        </a:p>
        <a:p>
          <a:pPr marL="0" indent="0" algn="l"/>
          <a:endParaRPr lang="sv-SE" sz="1200" b="0" baseline="0">
            <a:solidFill>
              <a:sysClr val="windowText" lastClr="000000"/>
            </a:solidFill>
            <a:latin typeface="+mn-lt"/>
            <a:ea typeface="+mn-ea"/>
            <a:cs typeface="+mn-cs"/>
          </a:endParaRPr>
        </a:p>
        <a:p>
          <a:pPr marL="0" indent="0" algn="l"/>
          <a:endParaRPr lang="sv-SE" sz="1200" b="0" baseline="0">
            <a:solidFill>
              <a:sysClr val="windowText" lastClr="000000"/>
            </a:solidFill>
            <a:latin typeface="+mn-lt"/>
            <a:ea typeface="+mn-ea"/>
            <a:cs typeface="+mn-cs"/>
          </a:endParaRPr>
        </a:p>
        <a:p>
          <a:pPr marL="0" indent="0" algn="l"/>
          <a:endParaRPr lang="sv-SE" sz="1200" b="0" baseline="0">
            <a:solidFill>
              <a:sysClr val="windowText" lastClr="000000"/>
            </a:solidFill>
            <a:latin typeface="+mn-lt"/>
            <a:ea typeface="+mn-ea"/>
            <a:cs typeface="+mn-cs"/>
          </a:endParaRPr>
        </a:p>
        <a:p>
          <a:pPr marL="0" indent="0" algn="l"/>
          <a:endParaRPr lang="sv-SE" sz="1200" b="0" baseline="0">
            <a:solidFill>
              <a:sysClr val="windowText" lastClr="000000"/>
            </a:solidFill>
            <a:latin typeface="+mn-lt"/>
            <a:ea typeface="+mn-ea"/>
            <a:cs typeface="+mn-cs"/>
          </a:endParaRPr>
        </a:p>
        <a:p>
          <a:pPr marL="0" indent="0" algn="l"/>
          <a:endParaRPr lang="sv-SE" sz="1200" b="0" baseline="0">
            <a:solidFill>
              <a:sysClr val="windowText" lastClr="000000"/>
            </a:solidFill>
            <a:latin typeface="+mn-lt"/>
            <a:ea typeface="+mn-ea"/>
            <a:cs typeface="+mn-cs"/>
          </a:endParaRPr>
        </a:p>
        <a:p>
          <a:pPr marL="0" indent="0" algn="l"/>
          <a:endParaRPr lang="sv-SE" sz="1200" b="0" baseline="0">
            <a:solidFill>
              <a:sysClr val="windowText" lastClr="000000"/>
            </a:solidFill>
            <a:latin typeface="+mn-lt"/>
            <a:ea typeface="+mn-ea"/>
            <a:cs typeface="+mn-cs"/>
          </a:endParaRPr>
        </a:p>
        <a:p>
          <a:pPr marL="0" indent="0" algn="l"/>
          <a:endParaRPr lang="sv-SE" sz="1200" b="0" baseline="0">
            <a:solidFill>
              <a:schemeClr val="tx1"/>
            </a:solidFill>
            <a:effectLst/>
            <a:latin typeface="+mn-lt"/>
            <a:ea typeface="+mn-ea"/>
            <a:cs typeface="+mn-cs"/>
          </a:endParaRPr>
        </a:p>
        <a:p>
          <a:pPr marL="0" indent="0" algn="l"/>
          <a:endParaRPr lang="sv-SE" sz="1200" b="0" baseline="0">
            <a:solidFill>
              <a:schemeClr val="tx1"/>
            </a:solidFill>
            <a:latin typeface="+mn-lt"/>
            <a:ea typeface="+mn-ea"/>
            <a:cs typeface="+mn-cs"/>
          </a:endParaRPr>
        </a:p>
      </xdr:txBody>
    </xdr:sp>
    <xdr:clientData/>
  </xdr:twoCellAnchor>
  <xdr:twoCellAnchor>
    <xdr:from>
      <xdr:col>5</xdr:col>
      <xdr:colOff>181071</xdr:colOff>
      <xdr:row>15</xdr:row>
      <xdr:rowOff>101862</xdr:rowOff>
    </xdr:from>
    <xdr:to>
      <xdr:col>6</xdr:col>
      <xdr:colOff>1398321</xdr:colOff>
      <xdr:row>30</xdr:row>
      <xdr:rowOff>2380</xdr:rowOff>
    </xdr:to>
    <xdr:graphicFrame macro="">
      <xdr:nvGraphicFramePr>
        <xdr:cNvPr id="13" name="Chart 12">
          <a:extLst>
            <a:ext uri="{FF2B5EF4-FFF2-40B4-BE49-F238E27FC236}">
              <a16:creationId xmlns:a16="http://schemas.microsoft.com/office/drawing/2014/main" id="{94BA7809-0F43-4D4F-A93B-AE0F0E8465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219139</xdr:colOff>
      <xdr:row>15</xdr:row>
      <xdr:rowOff>108552</xdr:rowOff>
    </xdr:from>
    <xdr:to>
      <xdr:col>13</xdr:col>
      <xdr:colOff>317499</xdr:colOff>
      <xdr:row>30</xdr:row>
      <xdr:rowOff>28074</xdr:rowOff>
    </xdr:to>
    <xdr:graphicFrame macro="">
      <xdr:nvGraphicFramePr>
        <xdr:cNvPr id="14" name="Chart 13">
          <a:extLst>
            <a:ext uri="{FF2B5EF4-FFF2-40B4-BE49-F238E27FC236}">
              <a16:creationId xmlns:a16="http://schemas.microsoft.com/office/drawing/2014/main" id="{4F4D1C8F-847C-4B36-B66D-6CF811208E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486833</xdr:colOff>
      <xdr:row>15</xdr:row>
      <xdr:rowOff>124275</xdr:rowOff>
    </xdr:from>
    <xdr:to>
      <xdr:col>23</xdr:col>
      <xdr:colOff>42333</xdr:colOff>
      <xdr:row>30</xdr:row>
      <xdr:rowOff>24793</xdr:rowOff>
    </xdr:to>
    <xdr:graphicFrame macro="">
      <xdr:nvGraphicFramePr>
        <xdr:cNvPr id="7" name="Chart 6">
          <a:extLst>
            <a:ext uri="{FF2B5EF4-FFF2-40B4-BE49-F238E27FC236}">
              <a16:creationId xmlns:a16="http://schemas.microsoft.com/office/drawing/2014/main" id="{14120889-CEDF-42DF-849F-B017E31D3D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507438</xdr:colOff>
      <xdr:row>30</xdr:row>
      <xdr:rowOff>169330</xdr:rowOff>
    </xdr:from>
    <xdr:to>
      <xdr:col>23</xdr:col>
      <xdr:colOff>42333</xdr:colOff>
      <xdr:row>46</xdr:row>
      <xdr:rowOff>169330</xdr:rowOff>
    </xdr:to>
    <xdr:graphicFrame macro="">
      <xdr:nvGraphicFramePr>
        <xdr:cNvPr id="8" name="Chart 7">
          <a:extLst>
            <a:ext uri="{FF2B5EF4-FFF2-40B4-BE49-F238E27FC236}">
              <a16:creationId xmlns:a16="http://schemas.microsoft.com/office/drawing/2014/main" id="{376DEAAD-3018-4ED3-A41A-0482C9FA99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0</xdr:row>
      <xdr:rowOff>0</xdr:rowOff>
    </xdr:from>
    <xdr:to>
      <xdr:col>1</xdr:col>
      <xdr:colOff>1238251</xdr:colOff>
      <xdr:row>2</xdr:row>
      <xdr:rowOff>331139</xdr:rowOff>
    </xdr:to>
    <xdr:pic>
      <xdr:nvPicPr>
        <xdr:cNvPr id="4" name="Bildobjekt 3">
          <a:extLst>
            <a:ext uri="{FF2B5EF4-FFF2-40B4-BE49-F238E27FC236}">
              <a16:creationId xmlns:a16="http://schemas.microsoft.com/office/drawing/2014/main" id="{29599CA3-9BCD-470A-8C31-31FB7FE97EC1}"/>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261938" y="0"/>
          <a:ext cx="1238251" cy="12360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246592</xdr:colOff>
      <xdr:row>0</xdr:row>
      <xdr:rowOff>200564</xdr:rowOff>
    </xdr:from>
    <xdr:to>
      <xdr:col>11</xdr:col>
      <xdr:colOff>1076325</xdr:colOff>
      <xdr:row>4</xdr:row>
      <xdr:rowOff>127000</xdr:rowOff>
    </xdr:to>
    <xdr:sp macro="" textlink="">
      <xdr:nvSpPr>
        <xdr:cNvPr id="4" name="Rektangel 15">
          <a:extLst>
            <a:ext uri="{FF2B5EF4-FFF2-40B4-BE49-F238E27FC236}">
              <a16:creationId xmlns:a16="http://schemas.microsoft.com/office/drawing/2014/main" id="{0F31C546-BA1C-44FB-839D-4D109A8B2DBF}"/>
            </a:ext>
          </a:extLst>
        </xdr:cNvPr>
        <xdr:cNvSpPr/>
      </xdr:nvSpPr>
      <xdr:spPr>
        <a:xfrm>
          <a:off x="7485592" y="200564"/>
          <a:ext cx="6703483" cy="2233603"/>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indent="0" algn="l"/>
          <a:r>
            <a:rPr lang="sv-SE" sz="1200" b="0" baseline="0">
              <a:solidFill>
                <a:sysClr val="windowText" lastClr="000000"/>
              </a:solidFill>
              <a:latin typeface="+mn-lt"/>
              <a:ea typeface="+mn-ea"/>
              <a:cs typeface="+mn-cs"/>
            </a:rPr>
            <a:t>I denna flik specificeras historisk statistik över byggnadens energiprestanda, byggnadens uppmätt energianvändning (BBR energi), normaliserad energianvändning och miljöpåverkan av energianvändningen. Resultatet används för bedömning av om byggnaden bibehåller energiprestandan under tiden för återrapportering.</a:t>
          </a:r>
        </a:p>
        <a:p>
          <a:pPr marL="0" indent="0" algn="l"/>
          <a:endParaRPr lang="sv-SE" sz="1200" b="0" baseline="0">
            <a:solidFill>
              <a:sysClr val="windowText" lastClr="00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200" b="0" baseline="0">
              <a:solidFill>
                <a:sysClr val="windowText" lastClr="000000"/>
              </a:solidFill>
              <a:latin typeface="+mn-lt"/>
              <a:ea typeface="+mn-ea"/>
              <a:cs typeface="+mn-cs"/>
            </a:rPr>
            <a:t>Historisk data och uppmätta värden som gäller för rapporteringsåret ska matas in manuellt i gröna rutor. </a:t>
          </a:r>
          <a:r>
            <a:rPr lang="sv-SE" sz="1200" b="0" baseline="0">
              <a:solidFill>
                <a:sysClr val="windowText" lastClr="000000"/>
              </a:solidFill>
              <a:effectLst/>
              <a:latin typeface="+mn-lt"/>
              <a:ea typeface="+mn-ea"/>
              <a:cs typeface="+mn-cs"/>
            </a:rPr>
            <a:t>Gråa celler beräknas eller länkas automatiskt. Hjälptexter finns vid gröna rutor där indata ska matas in. För certifiering av en ny byggnad eller befintlig byggnad enligt Alternativ 2 (</a:t>
          </a:r>
          <a:r>
            <a:rPr lang="sv-SE" sz="1200" b="0" i="1" baseline="0">
              <a:solidFill>
                <a:sysClr val="windowText" lastClr="000000"/>
              </a:solidFill>
              <a:effectLst/>
              <a:latin typeface="+mn-lt"/>
              <a:ea typeface="+mn-ea"/>
              <a:cs typeface="+mn-cs"/>
            </a:rPr>
            <a:t>Kriterium 7- Energiklass</a:t>
          </a:r>
          <a:r>
            <a:rPr lang="sv-SE" sz="1200" b="0" baseline="0">
              <a:solidFill>
                <a:sysClr val="windowText" lastClr="000000"/>
              </a:solidFill>
              <a:effectLst/>
              <a:latin typeface="+mn-lt"/>
              <a:ea typeface="+mn-ea"/>
              <a:cs typeface="+mn-cs"/>
            </a:rPr>
            <a:t>) ska fösta indata kolumnen motsvara certifieringsåret. För certifiering av en befintlig byggnad enligt Alternativ 1 (</a:t>
          </a:r>
          <a:r>
            <a:rPr lang="sv-SE" sz="1200" b="0" i="1" baseline="0">
              <a:solidFill>
                <a:sysClr val="windowText" lastClr="000000"/>
              </a:solidFill>
              <a:effectLst/>
              <a:latin typeface="+mn-lt"/>
              <a:ea typeface="+mn-ea"/>
              <a:cs typeface="+mn-cs"/>
            </a:rPr>
            <a:t>Kriterium 6- Energirenovering</a:t>
          </a:r>
          <a:r>
            <a:rPr lang="sv-SE" sz="1200" b="0" baseline="0">
              <a:solidFill>
                <a:sysClr val="windowText" lastClr="000000"/>
              </a:solidFill>
              <a:effectLst/>
              <a:latin typeface="+mn-lt"/>
              <a:ea typeface="+mn-ea"/>
              <a:cs typeface="+mn-cs"/>
            </a:rPr>
            <a:t>) ska första kolumnen motsvara referensåret. Diagrammet anpassas automatisk efter indata har fyllts i. </a:t>
          </a:r>
          <a:endParaRPr lang="sv-SE" sz="1200">
            <a:solidFill>
              <a:sysClr val="windowText" lastClr="000000"/>
            </a:solidFill>
            <a:effectLst/>
          </a:endParaRPr>
        </a:p>
        <a:p>
          <a:pPr marL="0" indent="0" algn="l"/>
          <a:endParaRPr lang="sv-SE" sz="1200" b="0" baseline="0">
            <a:solidFill>
              <a:sysClr val="windowText" lastClr="000000"/>
            </a:solidFill>
            <a:latin typeface="+mn-lt"/>
            <a:ea typeface="+mn-ea"/>
            <a:cs typeface="+mn-cs"/>
          </a:endParaRPr>
        </a:p>
        <a:p>
          <a:pPr marL="0" indent="0" algn="l"/>
          <a:endParaRPr lang="sv-SE" sz="1200" b="0" baseline="0">
            <a:solidFill>
              <a:sysClr val="windowText" lastClr="000000"/>
            </a:solidFill>
            <a:latin typeface="+mn-lt"/>
            <a:ea typeface="+mn-ea"/>
            <a:cs typeface="+mn-cs"/>
          </a:endParaRPr>
        </a:p>
        <a:p>
          <a:pPr marL="0" indent="0" algn="l"/>
          <a:endParaRPr lang="sv-SE" sz="1200" b="0" baseline="0">
            <a:solidFill>
              <a:sysClr val="windowText" lastClr="000000"/>
            </a:solidFill>
            <a:latin typeface="+mn-lt"/>
            <a:ea typeface="+mn-ea"/>
            <a:cs typeface="+mn-cs"/>
          </a:endParaRPr>
        </a:p>
        <a:p>
          <a:pPr marL="0" indent="0" algn="l"/>
          <a:endParaRPr lang="sv-SE" sz="1200" b="0" baseline="0">
            <a:solidFill>
              <a:sysClr val="windowText" lastClr="000000"/>
            </a:solidFill>
            <a:latin typeface="+mn-lt"/>
            <a:ea typeface="+mn-ea"/>
            <a:cs typeface="+mn-cs"/>
          </a:endParaRPr>
        </a:p>
        <a:p>
          <a:pPr marL="0" indent="0" algn="l"/>
          <a:endParaRPr lang="sv-SE" sz="1200" b="0" baseline="0">
            <a:solidFill>
              <a:schemeClr val="tx1"/>
            </a:solidFill>
            <a:effectLst/>
            <a:latin typeface="+mn-lt"/>
            <a:ea typeface="+mn-ea"/>
            <a:cs typeface="+mn-cs"/>
          </a:endParaRPr>
        </a:p>
        <a:p>
          <a:pPr marL="0" indent="0" algn="l"/>
          <a:endParaRPr lang="sv-SE" sz="1200" b="0" baseline="0">
            <a:solidFill>
              <a:schemeClr val="tx1"/>
            </a:solidFill>
            <a:latin typeface="+mn-lt"/>
            <a:ea typeface="+mn-ea"/>
            <a:cs typeface="+mn-cs"/>
          </a:endParaRPr>
        </a:p>
      </xdr:txBody>
    </xdr:sp>
    <xdr:clientData/>
  </xdr:twoCellAnchor>
  <xdr:twoCellAnchor>
    <xdr:from>
      <xdr:col>12</xdr:col>
      <xdr:colOff>161622</xdr:colOff>
      <xdr:row>3</xdr:row>
      <xdr:rowOff>162076</xdr:rowOff>
    </xdr:from>
    <xdr:to>
      <xdr:col>17</xdr:col>
      <xdr:colOff>1090991</xdr:colOff>
      <xdr:row>18</xdr:row>
      <xdr:rowOff>168426</xdr:rowOff>
    </xdr:to>
    <xdr:graphicFrame macro="">
      <xdr:nvGraphicFramePr>
        <xdr:cNvPr id="5" name="Chart 4">
          <a:extLst>
            <a:ext uri="{FF2B5EF4-FFF2-40B4-BE49-F238E27FC236}">
              <a16:creationId xmlns:a16="http://schemas.microsoft.com/office/drawing/2014/main" id="{C9861C4F-61B6-43B2-B943-42F170417D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1</xdr:col>
      <xdr:colOff>1238251</xdr:colOff>
      <xdr:row>2</xdr:row>
      <xdr:rowOff>474523</xdr:rowOff>
    </xdr:to>
    <xdr:pic>
      <xdr:nvPicPr>
        <xdr:cNvPr id="2" name="Bildobjekt 1">
          <a:extLst>
            <a:ext uri="{FF2B5EF4-FFF2-40B4-BE49-F238E27FC236}">
              <a16:creationId xmlns:a16="http://schemas.microsoft.com/office/drawing/2014/main" id="{DA72DE60-EB1A-413C-A808-7C444EC6182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72143" y="0"/>
          <a:ext cx="1238251" cy="12229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28</xdr:col>
      <xdr:colOff>247650</xdr:colOff>
      <xdr:row>38</xdr:row>
      <xdr:rowOff>57151</xdr:rowOff>
    </xdr:from>
    <xdr:to>
      <xdr:col>35</xdr:col>
      <xdr:colOff>552450</xdr:colOff>
      <xdr:row>50</xdr:row>
      <xdr:rowOff>47625</xdr:rowOff>
    </xdr:to>
    <xdr:graphicFrame macro="">
      <xdr:nvGraphicFramePr>
        <xdr:cNvPr id="5" name="Chart 4">
          <a:extLst>
            <a:ext uri="{FF2B5EF4-FFF2-40B4-BE49-F238E27FC236}">
              <a16:creationId xmlns:a16="http://schemas.microsoft.com/office/drawing/2014/main" id="{D1B17BF8-7129-4B5E-9859-AE8E2302C7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233362</xdr:colOff>
      <xdr:row>3</xdr:row>
      <xdr:rowOff>85725</xdr:rowOff>
    </xdr:from>
    <xdr:to>
      <xdr:col>35</xdr:col>
      <xdr:colOff>538162</xdr:colOff>
      <xdr:row>36</xdr:row>
      <xdr:rowOff>47624</xdr:rowOff>
    </xdr:to>
    <xdr:graphicFrame macro="">
      <xdr:nvGraphicFramePr>
        <xdr:cNvPr id="6" name="Chart 1">
          <a:extLst>
            <a:ext uri="{FF2B5EF4-FFF2-40B4-BE49-F238E27FC236}">
              <a16:creationId xmlns:a16="http://schemas.microsoft.com/office/drawing/2014/main" id="{49AD78B1-CB6D-47BE-82BA-78E4AC14DA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0.22917</cdr:x>
      <cdr:y>0.11297</cdr:y>
    </cdr:from>
    <cdr:to>
      <cdr:x>0.70625</cdr:x>
      <cdr:y>0.20223</cdr:y>
    </cdr:to>
    <cdr:sp macro="" textlink="">
      <cdr:nvSpPr>
        <cdr:cNvPr id="2" name="TextBox 1">
          <a:extLst xmlns:a="http://schemas.openxmlformats.org/drawingml/2006/main">
            <a:ext uri="{FF2B5EF4-FFF2-40B4-BE49-F238E27FC236}">
              <a16:creationId xmlns:a16="http://schemas.microsoft.com/office/drawing/2014/main" id="{C32573FA-565F-4DB9-A907-B5AEE83767F7}"/>
            </a:ext>
          </a:extLst>
        </cdr:cNvPr>
        <cdr:cNvSpPr txBox="1"/>
      </cdr:nvSpPr>
      <cdr:spPr>
        <a:xfrm xmlns:a="http://schemas.openxmlformats.org/drawingml/2006/main">
          <a:off x="1047750" y="385764"/>
          <a:ext cx="21812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SE" sz="1100"/>
        </a:p>
      </cdr:txBody>
    </cdr:sp>
  </cdr:relSizeAnchor>
</c:userShapes>
</file>

<file path=xl/theme/theme1.xml><?xml version="1.0" encoding="utf-8"?>
<a:theme xmlns:a="http://schemas.openxmlformats.org/drawingml/2006/main" name="Office-tema">
  <a:themeElements>
    <a:clrScheme name="SGBC">
      <a:dk1>
        <a:srgbClr val="484848"/>
      </a:dk1>
      <a:lt1>
        <a:sysClr val="window" lastClr="FFFFFF"/>
      </a:lt1>
      <a:dk2>
        <a:srgbClr val="3BA935"/>
      </a:dk2>
      <a:lt2>
        <a:srgbClr val="5DBFD7"/>
      </a:lt2>
      <a:accent1>
        <a:srgbClr val="266B2F"/>
      </a:accent1>
      <a:accent2>
        <a:srgbClr val="9CCA87"/>
      </a:accent2>
      <a:accent3>
        <a:srgbClr val="D8E9CE"/>
      </a:accent3>
      <a:accent4>
        <a:srgbClr val="ECECEC"/>
      </a:accent4>
      <a:accent5>
        <a:srgbClr val="A93576"/>
      </a:accent5>
      <a:accent6>
        <a:srgbClr val="ED762B"/>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8EBA9-76FC-4111-B1D3-E1BE53D7638B}">
  <sheetPr>
    <tabColor theme="3"/>
  </sheetPr>
  <dimension ref="B2:S48"/>
  <sheetViews>
    <sheetView zoomScale="80" zoomScaleNormal="80" workbookViewId="0">
      <selection activeCell="AJ13" sqref="AJ13"/>
    </sheetView>
  </sheetViews>
  <sheetFormatPr defaultColWidth="9.140625" defaultRowHeight="15" x14ac:dyDescent="0.25"/>
  <cols>
    <col min="1" max="3" width="9.140625" style="36"/>
    <col min="4" max="4" width="2.7109375" style="36" customWidth="1"/>
    <col min="5" max="5" width="9.140625" style="36" customWidth="1"/>
    <col min="6" max="6" width="17.5703125" style="36" customWidth="1"/>
    <col min="7" max="17" width="9.140625" style="36"/>
    <col min="18" max="18" width="6.140625" style="36" customWidth="1"/>
    <col min="19" max="16384" width="9.140625" style="36"/>
  </cols>
  <sheetData>
    <row r="2" spans="2:19" ht="120" customHeight="1" thickBot="1" x14ac:dyDescent="0.35">
      <c r="E2" s="305" t="s">
        <v>8</v>
      </c>
      <c r="H2" s="309" t="s">
        <v>1207</v>
      </c>
      <c r="S2" s="309" t="s">
        <v>1459</v>
      </c>
    </row>
    <row r="3" spans="2:19" ht="15" customHeight="1" x14ac:dyDescent="0.25">
      <c r="B3" s="340" t="s">
        <v>1461</v>
      </c>
      <c r="C3" s="341"/>
      <c r="D3" s="341"/>
      <c r="E3" s="341"/>
      <c r="F3" s="342"/>
    </row>
    <row r="4" spans="2:19" x14ac:dyDescent="0.25">
      <c r="B4" s="343"/>
      <c r="C4" s="399"/>
      <c r="D4" s="399"/>
      <c r="E4" s="399"/>
      <c r="F4" s="344"/>
    </row>
    <row r="5" spans="2:19" x14ac:dyDescent="0.25">
      <c r="B5" s="343"/>
      <c r="C5" s="399"/>
      <c r="D5" s="399"/>
      <c r="E5" s="399"/>
      <c r="F5" s="344"/>
      <c r="H5"/>
    </row>
    <row r="6" spans="2:19" x14ac:dyDescent="0.25">
      <c r="B6" s="343"/>
      <c r="C6" s="399"/>
      <c r="D6" s="399"/>
      <c r="E6" s="399"/>
      <c r="F6" s="344"/>
      <c r="H6"/>
    </row>
    <row r="7" spans="2:19" ht="15.75" customHeight="1" x14ac:dyDescent="0.25">
      <c r="B7" s="334" t="s">
        <v>3</v>
      </c>
      <c r="C7" s="400"/>
      <c r="D7" s="400"/>
      <c r="E7" s="400" t="s">
        <v>1463</v>
      </c>
      <c r="F7" s="336"/>
    </row>
    <row r="8" spans="2:19" x14ac:dyDescent="0.25">
      <c r="B8" s="334" t="s">
        <v>4</v>
      </c>
      <c r="C8" s="400"/>
      <c r="D8" s="400"/>
      <c r="E8" s="405">
        <v>44834</v>
      </c>
      <c r="F8" s="406"/>
    </row>
    <row r="9" spans="2:19" ht="17.25" customHeight="1" x14ac:dyDescent="0.25">
      <c r="B9" s="334" t="s">
        <v>2</v>
      </c>
      <c r="C9" s="400"/>
      <c r="D9" s="400"/>
      <c r="E9" s="400" t="s">
        <v>5</v>
      </c>
      <c r="F9" s="336"/>
    </row>
    <row r="10" spans="2:19" ht="16.5" customHeight="1" x14ac:dyDescent="0.25">
      <c r="B10" s="334" t="s">
        <v>0</v>
      </c>
      <c r="C10" s="400"/>
      <c r="D10" s="400"/>
      <c r="E10" s="400" t="s">
        <v>6</v>
      </c>
      <c r="F10" s="336"/>
    </row>
    <row r="11" spans="2:19" ht="13.5" customHeight="1" x14ac:dyDescent="0.25">
      <c r="B11" s="306"/>
      <c r="C11" s="401"/>
      <c r="D11" s="401"/>
      <c r="E11" s="401" t="s">
        <v>7</v>
      </c>
      <c r="F11" s="307"/>
    </row>
    <row r="12" spans="2:19" ht="17.45" customHeight="1" x14ac:dyDescent="0.25">
      <c r="B12" s="306"/>
      <c r="C12" s="401"/>
      <c r="D12" s="401"/>
      <c r="E12" s="401" t="s">
        <v>1480</v>
      </c>
      <c r="F12" s="307"/>
    </row>
    <row r="13" spans="2:19" ht="18" customHeight="1" x14ac:dyDescent="0.25">
      <c r="B13" s="402" t="s">
        <v>1</v>
      </c>
      <c r="C13" s="403"/>
      <c r="D13" s="403"/>
      <c r="E13" s="403" t="s">
        <v>7</v>
      </c>
      <c r="F13" s="404"/>
    </row>
    <row r="14" spans="2:19" ht="15" customHeight="1" thickBot="1" x14ac:dyDescent="0.3">
      <c r="B14" s="398" t="s">
        <v>1462</v>
      </c>
      <c r="C14" s="398"/>
      <c r="D14" s="398"/>
      <c r="E14" s="338"/>
      <c r="F14" s="338"/>
    </row>
    <row r="15" spans="2:19" ht="14.45" customHeight="1" x14ac:dyDescent="0.25">
      <c r="B15" s="331" t="s">
        <v>1627</v>
      </c>
      <c r="C15" s="332"/>
      <c r="D15" s="332"/>
      <c r="E15" s="332"/>
      <c r="F15" s="333"/>
    </row>
    <row r="16" spans="2:19" x14ac:dyDescent="0.25">
      <c r="B16" s="334"/>
      <c r="C16" s="335"/>
      <c r="D16" s="335"/>
      <c r="E16" s="335"/>
      <c r="F16" s="336"/>
    </row>
    <row r="17" spans="2:6" x14ac:dyDescent="0.25">
      <c r="B17" s="334"/>
      <c r="C17" s="335"/>
      <c r="D17" s="335"/>
      <c r="E17" s="335"/>
      <c r="F17" s="336"/>
    </row>
    <row r="18" spans="2:6" x14ac:dyDescent="0.25">
      <c r="B18" s="334"/>
      <c r="C18" s="335"/>
      <c r="D18" s="335"/>
      <c r="E18" s="335"/>
      <c r="F18" s="336"/>
    </row>
    <row r="19" spans="2:6" x14ac:dyDescent="0.25">
      <c r="B19" s="334"/>
      <c r="C19" s="335"/>
      <c r="D19" s="335"/>
      <c r="E19" s="335"/>
      <c r="F19" s="336"/>
    </row>
    <row r="20" spans="2:6" x14ac:dyDescent="0.25">
      <c r="B20" s="334"/>
      <c r="C20" s="335"/>
      <c r="D20" s="335"/>
      <c r="E20" s="335"/>
      <c r="F20" s="336"/>
    </row>
    <row r="21" spans="2:6" x14ac:dyDescent="0.25">
      <c r="B21" s="334"/>
      <c r="C21" s="335"/>
      <c r="D21" s="335"/>
      <c r="E21" s="335"/>
      <c r="F21" s="336"/>
    </row>
    <row r="22" spans="2:6" x14ac:dyDescent="0.25">
      <c r="B22" s="334"/>
      <c r="C22" s="335"/>
      <c r="D22" s="335"/>
      <c r="E22" s="335"/>
      <c r="F22" s="336"/>
    </row>
    <row r="23" spans="2:6" x14ac:dyDescent="0.25">
      <c r="B23" s="334"/>
      <c r="C23" s="335"/>
      <c r="D23" s="335"/>
      <c r="E23" s="335"/>
      <c r="F23" s="336"/>
    </row>
    <row r="24" spans="2:6" x14ac:dyDescent="0.25">
      <c r="B24" s="334"/>
      <c r="C24" s="335"/>
      <c r="D24" s="335"/>
      <c r="E24" s="335"/>
      <c r="F24" s="336"/>
    </row>
    <row r="25" spans="2:6" x14ac:dyDescent="0.25">
      <c r="B25" s="334"/>
      <c r="C25" s="335"/>
      <c r="D25" s="335"/>
      <c r="E25" s="335"/>
      <c r="F25" s="336"/>
    </row>
    <row r="26" spans="2:6" x14ac:dyDescent="0.25">
      <c r="B26" s="334"/>
      <c r="C26" s="335"/>
      <c r="D26" s="335"/>
      <c r="E26" s="335"/>
      <c r="F26" s="336"/>
    </row>
    <row r="27" spans="2:6" x14ac:dyDescent="0.25">
      <c r="B27" s="334"/>
      <c r="C27" s="335"/>
      <c r="D27" s="335"/>
      <c r="E27" s="335"/>
      <c r="F27" s="336"/>
    </row>
    <row r="28" spans="2:6" x14ac:dyDescent="0.25">
      <c r="B28" s="334"/>
      <c r="C28" s="335"/>
      <c r="D28" s="335"/>
      <c r="E28" s="335"/>
      <c r="F28" s="336"/>
    </row>
    <row r="29" spans="2:6" x14ac:dyDescent="0.25">
      <c r="B29" s="334"/>
      <c r="C29" s="335"/>
      <c r="D29" s="335"/>
      <c r="E29" s="335"/>
      <c r="F29" s="336"/>
    </row>
    <row r="30" spans="2:6" x14ac:dyDescent="0.25">
      <c r="B30" s="334"/>
      <c r="C30" s="335"/>
      <c r="D30" s="335"/>
      <c r="E30" s="335"/>
      <c r="F30" s="336"/>
    </row>
    <row r="31" spans="2:6" x14ac:dyDescent="0.25">
      <c r="B31" s="334"/>
      <c r="C31" s="335"/>
      <c r="D31" s="335"/>
      <c r="E31" s="335"/>
      <c r="F31" s="336"/>
    </row>
    <row r="32" spans="2:6" x14ac:dyDescent="0.25">
      <c r="B32" s="334"/>
      <c r="C32" s="335"/>
      <c r="D32" s="335"/>
      <c r="E32" s="335"/>
      <c r="F32" s="336"/>
    </row>
    <row r="33" spans="2:6" x14ac:dyDescent="0.25">
      <c r="B33" s="334"/>
      <c r="C33" s="335"/>
      <c r="D33" s="335"/>
      <c r="E33" s="335"/>
      <c r="F33" s="336"/>
    </row>
    <row r="34" spans="2:6" x14ac:dyDescent="0.25">
      <c r="B34" s="334"/>
      <c r="C34" s="335"/>
      <c r="D34" s="335"/>
      <c r="E34" s="335"/>
      <c r="F34" s="336"/>
    </row>
    <row r="35" spans="2:6" x14ac:dyDescent="0.25">
      <c r="B35" s="334"/>
      <c r="C35" s="335"/>
      <c r="D35" s="335"/>
      <c r="E35" s="335"/>
      <c r="F35" s="336"/>
    </row>
    <row r="36" spans="2:6" x14ac:dyDescent="0.25">
      <c r="B36" s="334"/>
      <c r="C36" s="335"/>
      <c r="D36" s="335"/>
      <c r="E36" s="335"/>
      <c r="F36" s="336"/>
    </row>
    <row r="37" spans="2:6" x14ac:dyDescent="0.25">
      <c r="B37" s="334"/>
      <c r="C37" s="335"/>
      <c r="D37" s="335"/>
      <c r="E37" s="335"/>
      <c r="F37" s="336"/>
    </row>
    <row r="38" spans="2:6" x14ac:dyDescent="0.25">
      <c r="B38" s="334"/>
      <c r="C38" s="335"/>
      <c r="D38" s="335"/>
      <c r="E38" s="335"/>
      <c r="F38" s="336"/>
    </row>
    <row r="39" spans="2:6" x14ac:dyDescent="0.25">
      <c r="B39" s="334"/>
      <c r="C39" s="335"/>
      <c r="D39" s="335"/>
      <c r="E39" s="335"/>
      <c r="F39" s="336"/>
    </row>
    <row r="40" spans="2:6" x14ac:dyDescent="0.25">
      <c r="B40" s="334"/>
      <c r="C40" s="335"/>
      <c r="D40" s="335"/>
      <c r="E40" s="335"/>
      <c r="F40" s="336"/>
    </row>
    <row r="41" spans="2:6" x14ac:dyDescent="0.25">
      <c r="B41" s="334"/>
      <c r="C41" s="335"/>
      <c r="D41" s="335"/>
      <c r="E41" s="335"/>
      <c r="F41" s="336"/>
    </row>
    <row r="42" spans="2:6" x14ac:dyDescent="0.25">
      <c r="B42" s="334"/>
      <c r="C42" s="335"/>
      <c r="D42" s="335"/>
      <c r="E42" s="335"/>
      <c r="F42" s="336"/>
    </row>
    <row r="43" spans="2:6" x14ac:dyDescent="0.25">
      <c r="B43" s="334"/>
      <c r="C43" s="335"/>
      <c r="D43" s="335"/>
      <c r="E43" s="335"/>
      <c r="F43" s="336"/>
    </row>
    <row r="44" spans="2:6" x14ac:dyDescent="0.25">
      <c r="B44" s="334"/>
      <c r="C44" s="335"/>
      <c r="D44" s="335"/>
      <c r="E44" s="335"/>
      <c r="F44" s="336"/>
    </row>
    <row r="45" spans="2:6" x14ac:dyDescent="0.25">
      <c r="B45" s="334"/>
      <c r="C45" s="335"/>
      <c r="D45" s="335"/>
      <c r="E45" s="335"/>
      <c r="F45" s="336"/>
    </row>
    <row r="46" spans="2:6" x14ac:dyDescent="0.25">
      <c r="B46" s="334"/>
      <c r="C46" s="335"/>
      <c r="D46" s="335"/>
      <c r="E46" s="335"/>
      <c r="F46" s="336"/>
    </row>
    <row r="47" spans="2:6" x14ac:dyDescent="0.25">
      <c r="B47" s="334"/>
      <c r="C47" s="335"/>
      <c r="D47" s="335"/>
      <c r="E47" s="335"/>
      <c r="F47" s="336"/>
    </row>
    <row r="48" spans="2:6" ht="15.75" thickBot="1" x14ac:dyDescent="0.3">
      <c r="B48" s="337"/>
      <c r="C48" s="338"/>
      <c r="D48" s="338"/>
      <c r="E48" s="338"/>
      <c r="F48" s="339"/>
    </row>
  </sheetData>
  <sheetProtection algorithmName="SHA-512" hashValue="F+aLROkVUwMuN9CAa0TSMfTcRGbj555xVuoMg64Ebt6X7dORd3ouvXH1VgKrDP59VGQuFuEKgoAxATf9xHPH9g==" saltValue="jPVzIATbvtHx7TGoHe8+Hg==" spinCount="100000" sheet="1" objects="1" scenarios="1" selectLockedCells="1"/>
  <mergeCells count="14">
    <mergeCell ref="B9:D9"/>
    <mergeCell ref="E9:F9"/>
    <mergeCell ref="B3:F6"/>
    <mergeCell ref="B7:D7"/>
    <mergeCell ref="E7:F7"/>
    <mergeCell ref="B8:D8"/>
    <mergeCell ref="E8:F8"/>
    <mergeCell ref="B15:F48"/>
    <mergeCell ref="B10:D10"/>
    <mergeCell ref="E10:F10"/>
    <mergeCell ref="B13:D13"/>
    <mergeCell ref="E13:F13"/>
    <mergeCell ref="B14:D14"/>
    <mergeCell ref="E14:F14"/>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48E58-8FDC-462F-BCA4-5753971A6AD9}">
  <sheetPr codeName="Sheet7"/>
  <dimension ref="A1:S88"/>
  <sheetViews>
    <sheetView workbookViewId="0">
      <selection activeCell="W14" sqref="W14"/>
    </sheetView>
  </sheetViews>
  <sheetFormatPr defaultRowHeight="15" x14ac:dyDescent="0.25"/>
  <cols>
    <col min="4" max="4" width="20.85546875" customWidth="1"/>
    <col min="8" max="8" width="18.140625" customWidth="1"/>
    <col min="10" max="10" width="14.42578125" customWidth="1"/>
    <col min="13" max="13" width="16" customWidth="1"/>
    <col min="15" max="15" width="15.42578125" customWidth="1"/>
  </cols>
  <sheetData>
    <row r="1" spans="1:19" x14ac:dyDescent="0.25">
      <c r="C1" t="s">
        <v>333</v>
      </c>
      <c r="D1" s="5" t="str">
        <f>F1</f>
        <v>DalsEds</v>
      </c>
      <c r="F1" t="str">
        <f>INDEX(Ortlista!A1:I302,G1,2)</f>
        <v>DalsEds</v>
      </c>
      <c r="G1">
        <f>'Indata byggnad och BBR krav'!E15</f>
        <v>28</v>
      </c>
      <c r="H1" t="str">
        <f>ADDRESS(1,7,4)</f>
        <v>G1</v>
      </c>
      <c r="M1" t="str">
        <f>F1</f>
        <v>DalsEds</v>
      </c>
    </row>
    <row r="3" spans="1:19" x14ac:dyDescent="0.25">
      <c r="O3">
        <v>4</v>
      </c>
    </row>
    <row r="4" spans="1:19" x14ac:dyDescent="0.25">
      <c r="A4" t="s">
        <v>9</v>
      </c>
      <c r="B4" t="s">
        <v>19</v>
      </c>
      <c r="D4" s="329" t="s">
        <v>334</v>
      </c>
      <c r="E4" s="329" t="s">
        <v>335</v>
      </c>
      <c r="F4" s="329"/>
      <c r="H4" t="str">
        <f>"Ortdata!"&amp;ADDRESS(15,$G$1+2,3)</f>
        <v>Ortdata!$AD15</v>
      </c>
      <c r="I4" t="str">
        <f ca="1">INDIRECT(H4)</f>
        <v>DalsEds</v>
      </c>
      <c r="J4" t="str">
        <f>"Ortdata!"&amp;ADDRESS(1,$G$1+2,3)</f>
        <v>Ortdata!$AD1</v>
      </c>
      <c r="K4" t="str">
        <f ca="1">INDIRECT(J4)</f>
        <v>DalsEds</v>
      </c>
      <c r="L4" t="s">
        <v>19</v>
      </c>
      <c r="M4" s="3" t="s">
        <v>336</v>
      </c>
      <c r="N4" s="3"/>
      <c r="O4" s="3" t="s">
        <v>337</v>
      </c>
      <c r="R4" t="s">
        <v>1113</v>
      </c>
      <c r="S4" t="s">
        <v>1114</v>
      </c>
    </row>
    <row r="5" spans="1:19" x14ac:dyDescent="0.25">
      <c r="A5">
        <v>2015</v>
      </c>
      <c r="B5">
        <v>1</v>
      </c>
      <c r="D5" s="329">
        <v>10</v>
      </c>
      <c r="E5" s="330"/>
      <c r="F5" s="330"/>
      <c r="H5" t="str">
        <f>"Ortdata!"&amp;ADDRESS(16,$G$1+2,4)</f>
        <v>Ortdata!AD16</v>
      </c>
      <c r="I5">
        <f ca="1">INDIRECT(H5)</f>
        <v>0.54200000000000004</v>
      </c>
      <c r="J5" t="str">
        <f>"Ortdata!"&amp;ADDRESS(ROW(G6)-4,$G$1+2,4)</f>
        <v>Ortdata!AD2</v>
      </c>
      <c r="K5">
        <f ca="1">INDIRECT(J5)</f>
        <v>-2.9620000000000002</v>
      </c>
      <c r="L5">
        <f>B5</f>
        <v>1</v>
      </c>
      <c r="M5" s="4">
        <f ca="1">(17-K5)/(17-I5)</f>
        <v>1.2129055778344879</v>
      </c>
      <c r="N5" s="4">
        <f ca="1">17-K5</f>
        <v>19.962</v>
      </c>
      <c r="O5" s="4">
        <f ca="1">IF(P5=0,M5,P5)</f>
        <v>1.2129055778344879</v>
      </c>
      <c r="P5">
        <v>0</v>
      </c>
      <c r="R5" s="2" t="str">
        <f>A5 &amp; TEXT(B5,"00")</f>
        <v>201501</v>
      </c>
      <c r="S5" s="1">
        <f ca="1">O5</f>
        <v>1.2129055778344879</v>
      </c>
    </row>
    <row r="6" spans="1:19" x14ac:dyDescent="0.25">
      <c r="A6">
        <v>2015</v>
      </c>
      <c r="B6">
        <v>2</v>
      </c>
      <c r="D6" s="329">
        <v>10</v>
      </c>
      <c r="E6" s="330"/>
      <c r="F6" s="330"/>
      <c r="H6" t="str">
        <f>"Ortdata!"&amp;ADDRESS(ROW(G6)+11,$G$1+2,4)</f>
        <v>Ortdata!AD17</v>
      </c>
      <c r="I6">
        <f t="shared" ref="I6:I69" ca="1" si="0">INDIRECT(H6)</f>
        <v>0.42</v>
      </c>
      <c r="J6" t="str">
        <f t="shared" ref="J6:J16" si="1">"Ortdata!"&amp;ADDRESS(ROW(G7)-4,$G$1+2,4)</f>
        <v>Ortdata!AD3</v>
      </c>
      <c r="K6">
        <f t="shared" ref="K6:K16" ca="1" si="2">INDIRECT(J6)</f>
        <v>-2.0379999999999998</v>
      </c>
      <c r="L6">
        <f t="shared" ref="L6:L69" si="3">B6</f>
        <v>2</v>
      </c>
      <c r="M6" s="4">
        <f t="shared" ref="M6:M69" ca="1" si="4">(17-K6)/(17-I6)</f>
        <v>1.1482509047044633</v>
      </c>
      <c r="N6" s="4">
        <f t="shared" ref="N6:N69" ca="1" si="5">17-K6</f>
        <v>19.038</v>
      </c>
      <c r="O6" s="4">
        <f ca="1">IF(P6=0,M6,P6)</f>
        <v>1.1482509047044633</v>
      </c>
      <c r="P6">
        <v>0</v>
      </c>
      <c r="R6" s="2" t="str">
        <f t="shared" ref="R6:R69" si="6">A6 &amp; TEXT(B6,"00")</f>
        <v>201502</v>
      </c>
      <c r="S6" s="1">
        <f t="shared" ref="S6:S69" ca="1" si="7">O6</f>
        <v>1.1482509047044633</v>
      </c>
    </row>
    <row r="7" spans="1:19" x14ac:dyDescent="0.25">
      <c r="A7">
        <v>2015</v>
      </c>
      <c r="B7">
        <v>3</v>
      </c>
      <c r="D7" s="329">
        <v>10</v>
      </c>
      <c r="E7" s="330">
        <v>12.96963533343019</v>
      </c>
      <c r="F7" s="330">
        <v>12.96963533343019</v>
      </c>
      <c r="H7" t="str">
        <f t="shared" ref="H7:H70" si="8">"Ortdata!"&amp;ADDRESS(ROW(G7)+11,$G$1+2,4)</f>
        <v>Ortdata!AD18</v>
      </c>
      <c r="I7">
        <f t="shared" ca="1" si="0"/>
        <v>2.5619999999999998</v>
      </c>
      <c r="J7" t="str">
        <f t="shared" si="1"/>
        <v>Ortdata!AD4</v>
      </c>
      <c r="K7">
        <f t="shared" ca="1" si="2"/>
        <v>0.45200000000000001</v>
      </c>
      <c r="L7">
        <f t="shared" si="3"/>
        <v>3</v>
      </c>
      <c r="M7" s="4">
        <f t="shared" ca="1" si="4"/>
        <v>1.1461421249480537</v>
      </c>
      <c r="N7" s="4">
        <f t="shared" ca="1" si="5"/>
        <v>16.547999999999998</v>
      </c>
      <c r="O7" s="4">
        <f t="shared" ref="O7:O70" ca="1" si="9">IF(P7=0,M7,P7)</f>
        <v>1.1461421249480537</v>
      </c>
      <c r="P7">
        <v>0</v>
      </c>
      <c r="R7" s="2" t="str">
        <f t="shared" si="6"/>
        <v>201503</v>
      </c>
      <c r="S7" s="1">
        <f t="shared" ca="1" si="7"/>
        <v>1.1461421249480537</v>
      </c>
    </row>
    <row r="8" spans="1:19" x14ac:dyDescent="0.25">
      <c r="A8">
        <v>2015</v>
      </c>
      <c r="B8">
        <v>4</v>
      </c>
      <c r="D8" s="329">
        <v>10</v>
      </c>
      <c r="E8" s="330">
        <v>11.733386709367492</v>
      </c>
      <c r="F8" s="330">
        <v>11.733386709367492</v>
      </c>
      <c r="H8" t="str">
        <f t="shared" si="8"/>
        <v>Ortdata!AD19</v>
      </c>
      <c r="I8">
        <f t="shared" ca="1" si="0"/>
        <v>5.5949999999999998</v>
      </c>
      <c r="J8" t="str">
        <f t="shared" si="1"/>
        <v>Ortdata!AD5</v>
      </c>
      <c r="K8">
        <f t="shared" ca="1" si="2"/>
        <v>4.8689999999999998</v>
      </c>
      <c r="L8">
        <f t="shared" si="3"/>
        <v>4</v>
      </c>
      <c r="M8" s="4">
        <f t="shared" ca="1" si="4"/>
        <v>1.0636562911003944</v>
      </c>
      <c r="N8" s="4">
        <f t="shared" ca="1" si="5"/>
        <v>12.131</v>
      </c>
      <c r="O8" s="4">
        <f t="shared" ca="1" si="9"/>
        <v>1.0636562911003944</v>
      </c>
      <c r="P8">
        <v>0</v>
      </c>
      <c r="R8" s="2" t="str">
        <f t="shared" si="6"/>
        <v>201504</v>
      </c>
      <c r="S8" s="1">
        <f t="shared" ca="1" si="7"/>
        <v>1.0636562911003944</v>
      </c>
    </row>
    <row r="9" spans="1:19" x14ac:dyDescent="0.25">
      <c r="A9">
        <v>2015</v>
      </c>
      <c r="B9">
        <v>5</v>
      </c>
      <c r="D9" s="329">
        <v>10</v>
      </c>
      <c r="E9" s="330">
        <v>10.237264480111657</v>
      </c>
      <c r="F9" s="330">
        <v>10.237264480111657</v>
      </c>
      <c r="H9" t="str">
        <f t="shared" si="8"/>
        <v>Ortdata!AD20</v>
      </c>
      <c r="I9">
        <f t="shared" ca="1" si="0"/>
        <v>8.2550000000000008</v>
      </c>
      <c r="J9" t="str">
        <f t="shared" si="1"/>
        <v>Ortdata!AD6</v>
      </c>
      <c r="K9">
        <f t="shared" ca="1" si="2"/>
        <v>11.42</v>
      </c>
      <c r="L9">
        <f t="shared" si="3"/>
        <v>5</v>
      </c>
      <c r="M9" s="4">
        <f t="shared" ca="1" si="4"/>
        <v>0.63807890222984565</v>
      </c>
      <c r="N9" s="4">
        <f t="shared" ca="1" si="5"/>
        <v>5.58</v>
      </c>
      <c r="O9" s="4">
        <f ca="1">IF(P9=0,M9,P9)</f>
        <v>1.1566567495238664</v>
      </c>
      <c r="P9" s="1">
        <f ca="1">(SUM(M5:M8)+SUM(M14:M16))/7</f>
        <v>1.1566567495238664</v>
      </c>
      <c r="R9" s="2" t="str">
        <f t="shared" si="6"/>
        <v>201505</v>
      </c>
      <c r="S9" s="1">
        <f t="shared" ca="1" si="7"/>
        <v>1.1566567495238664</v>
      </c>
    </row>
    <row r="10" spans="1:19" x14ac:dyDescent="0.25">
      <c r="A10">
        <v>2015</v>
      </c>
      <c r="B10">
        <v>6</v>
      </c>
      <c r="D10" s="329">
        <v>10</v>
      </c>
      <c r="E10" s="330">
        <v>7.8839088905216794</v>
      </c>
      <c r="F10" s="330">
        <v>10</v>
      </c>
      <c r="H10" t="str">
        <f t="shared" si="8"/>
        <v>Ortdata!AD21</v>
      </c>
      <c r="I10">
        <f t="shared" ca="1" si="0"/>
        <v>12.904</v>
      </c>
      <c r="J10" t="str">
        <f t="shared" si="1"/>
        <v>Ortdata!AD7</v>
      </c>
      <c r="K10">
        <f t="shared" ca="1" si="2"/>
        <v>13.177</v>
      </c>
      <c r="L10">
        <f t="shared" si="3"/>
        <v>6</v>
      </c>
      <c r="M10" s="4">
        <f t="shared" ca="1" si="4"/>
        <v>0.93334960937500011</v>
      </c>
      <c r="N10" s="4">
        <f t="shared" ca="1" si="5"/>
        <v>3.8230000000000004</v>
      </c>
      <c r="O10" s="4">
        <f t="shared" ca="1" si="9"/>
        <v>1.1566567495238664</v>
      </c>
      <c r="P10" s="1">
        <f ca="1">P9</f>
        <v>1.1566567495238664</v>
      </c>
      <c r="R10" s="2" t="str">
        <f t="shared" si="6"/>
        <v>201506</v>
      </c>
      <c r="S10" s="1">
        <f t="shared" ca="1" si="7"/>
        <v>1.1566567495238664</v>
      </c>
    </row>
    <row r="11" spans="1:19" x14ac:dyDescent="0.25">
      <c r="A11">
        <v>2015</v>
      </c>
      <c r="B11">
        <v>7</v>
      </c>
      <c r="D11" s="329">
        <v>10</v>
      </c>
      <c r="E11" s="330">
        <v>-28.242424242424178</v>
      </c>
      <c r="F11" s="330">
        <v>10</v>
      </c>
      <c r="H11" t="str">
        <f t="shared" si="8"/>
        <v>Ortdata!AD22</v>
      </c>
      <c r="I11">
        <f t="shared" ca="1" si="0"/>
        <v>14.981</v>
      </c>
      <c r="J11" t="str">
        <f t="shared" si="1"/>
        <v>Ortdata!AD8</v>
      </c>
      <c r="K11">
        <f t="shared" ca="1" si="2"/>
        <v>16.495000000000001</v>
      </c>
      <c r="L11">
        <f t="shared" si="3"/>
        <v>7</v>
      </c>
      <c r="M11" s="4">
        <f t="shared" ca="1" si="4"/>
        <v>0.25012382367508618</v>
      </c>
      <c r="N11" s="4">
        <f t="shared" ca="1" si="5"/>
        <v>0.50499999999999901</v>
      </c>
      <c r="O11" s="4">
        <f t="shared" ca="1" si="9"/>
        <v>1.1566567495238664</v>
      </c>
      <c r="P11" s="1">
        <f ca="1">P10</f>
        <v>1.1566567495238664</v>
      </c>
      <c r="R11" s="2" t="str">
        <f t="shared" si="6"/>
        <v>201507</v>
      </c>
      <c r="S11" s="1">
        <f t="shared" ca="1" si="7"/>
        <v>1.1566567495238664</v>
      </c>
    </row>
    <row r="12" spans="1:19" x14ac:dyDescent="0.25">
      <c r="A12">
        <v>2015</v>
      </c>
      <c r="B12">
        <v>8</v>
      </c>
      <c r="D12" s="329">
        <v>10</v>
      </c>
      <c r="E12" s="330">
        <v>194.88888888888127</v>
      </c>
      <c r="F12" s="330">
        <v>10</v>
      </c>
      <c r="H12" t="str">
        <f t="shared" si="8"/>
        <v>Ortdata!AD23</v>
      </c>
      <c r="I12">
        <f t="shared" ca="1" si="0"/>
        <v>15.618</v>
      </c>
      <c r="J12" t="str">
        <f t="shared" si="1"/>
        <v>Ortdata!AD9</v>
      </c>
      <c r="K12">
        <f t="shared" ca="1" si="2"/>
        <v>14.679</v>
      </c>
      <c r="L12">
        <f t="shared" si="3"/>
        <v>8</v>
      </c>
      <c r="M12" s="4">
        <f t="shared" ca="1" si="4"/>
        <v>1.6794500723589003</v>
      </c>
      <c r="N12" s="4">
        <f t="shared" ca="1" si="5"/>
        <v>2.3209999999999997</v>
      </c>
      <c r="O12" s="4">
        <f t="shared" ca="1" si="9"/>
        <v>1.1566567495238664</v>
      </c>
      <c r="P12" s="1">
        <f ca="1">P11</f>
        <v>1.1566567495238664</v>
      </c>
      <c r="R12" s="2" t="str">
        <f t="shared" si="6"/>
        <v>201508</v>
      </c>
      <c r="S12" s="1">
        <f t="shared" ca="1" si="7"/>
        <v>1.1566567495238664</v>
      </c>
    </row>
    <row r="13" spans="1:19" x14ac:dyDescent="0.25">
      <c r="A13">
        <v>2015</v>
      </c>
      <c r="B13">
        <v>9</v>
      </c>
      <c r="D13" s="329">
        <v>10</v>
      </c>
      <c r="E13" s="330">
        <v>12.055541780312424</v>
      </c>
      <c r="F13" s="330">
        <v>12.055541780312424</v>
      </c>
      <c r="H13" t="str">
        <f t="shared" si="8"/>
        <v>Ortdata!AD24</v>
      </c>
      <c r="I13">
        <f t="shared" ca="1" si="0"/>
        <v>11.176</v>
      </c>
      <c r="J13" t="str">
        <f t="shared" si="1"/>
        <v>Ortdata!AD10</v>
      </c>
      <c r="K13">
        <f t="shared" ca="1" si="2"/>
        <v>11.108000000000001</v>
      </c>
      <c r="L13">
        <f t="shared" si="3"/>
        <v>9</v>
      </c>
      <c r="M13" s="4">
        <f t="shared" ca="1" si="4"/>
        <v>1.0116758241758241</v>
      </c>
      <c r="N13" s="4">
        <f t="shared" ca="1" si="5"/>
        <v>5.8919999999999995</v>
      </c>
      <c r="O13" s="4">
        <f t="shared" ca="1" si="9"/>
        <v>1.1566567495238664</v>
      </c>
      <c r="P13" s="1">
        <f ca="1">P12</f>
        <v>1.1566567495238664</v>
      </c>
      <c r="R13" s="2" t="str">
        <f t="shared" si="6"/>
        <v>201509</v>
      </c>
      <c r="S13" s="1">
        <f t="shared" ca="1" si="7"/>
        <v>1.1566567495238664</v>
      </c>
    </row>
    <row r="14" spans="1:19" x14ac:dyDescent="0.25">
      <c r="A14">
        <v>2015</v>
      </c>
      <c r="B14">
        <v>10</v>
      </c>
      <c r="D14" s="329">
        <v>10</v>
      </c>
      <c r="E14" s="330">
        <v>9.9796885578876093</v>
      </c>
      <c r="F14" s="330">
        <v>9.9796885578876093</v>
      </c>
      <c r="H14" t="str">
        <f t="shared" si="8"/>
        <v>Ortdata!AD25</v>
      </c>
      <c r="I14">
        <f t="shared" ca="1" si="0"/>
        <v>6.7759999999999998</v>
      </c>
      <c r="J14" t="str">
        <f t="shared" si="1"/>
        <v>Ortdata!AD11</v>
      </c>
      <c r="K14">
        <f t="shared" ca="1" si="2"/>
        <v>4.6559999999999997</v>
      </c>
      <c r="L14">
        <f t="shared" si="3"/>
        <v>10</v>
      </c>
      <c r="M14" s="4">
        <f t="shared" ca="1" si="4"/>
        <v>1.2073552425665102</v>
      </c>
      <c r="N14" s="4">
        <f t="shared" ca="1" si="5"/>
        <v>12.344000000000001</v>
      </c>
      <c r="O14" s="4">
        <f ca="1">IF(P14=0,M14,P14)</f>
        <v>1.2073552425665102</v>
      </c>
      <c r="P14">
        <v>0</v>
      </c>
      <c r="R14" s="2" t="str">
        <f t="shared" si="6"/>
        <v>201510</v>
      </c>
      <c r="S14" s="1">
        <f t="shared" ca="1" si="7"/>
        <v>1.2073552425665102</v>
      </c>
    </row>
    <row r="15" spans="1:19" x14ac:dyDescent="0.25">
      <c r="A15">
        <v>2015</v>
      </c>
      <c r="B15">
        <v>11</v>
      </c>
      <c r="D15" s="329">
        <v>10</v>
      </c>
      <c r="E15" s="330">
        <v>11.091645318568714</v>
      </c>
      <c r="F15" s="330">
        <v>11.091645318568714</v>
      </c>
      <c r="H15" t="str">
        <f t="shared" si="8"/>
        <v>Ortdata!AD26</v>
      </c>
      <c r="I15">
        <f t="shared" ca="1" si="0"/>
        <v>4.2370000000000001</v>
      </c>
      <c r="J15" t="str">
        <f t="shared" si="1"/>
        <v>Ortdata!AD12</v>
      </c>
      <c r="K15">
        <f t="shared" ca="1" si="2"/>
        <v>2.452</v>
      </c>
      <c r="L15">
        <f t="shared" si="3"/>
        <v>11</v>
      </c>
      <c r="M15" s="4">
        <f t="shared" ca="1" si="4"/>
        <v>1.1398574002977357</v>
      </c>
      <c r="N15" s="4">
        <f t="shared" ca="1" si="5"/>
        <v>14.548</v>
      </c>
      <c r="O15" s="4">
        <f t="shared" ca="1" si="9"/>
        <v>1.1398574002977357</v>
      </c>
      <c r="P15">
        <v>0</v>
      </c>
      <c r="R15" s="2" t="str">
        <f t="shared" si="6"/>
        <v>201511</v>
      </c>
      <c r="S15" s="1">
        <f t="shared" ca="1" si="7"/>
        <v>1.1398574002977357</v>
      </c>
    </row>
    <row r="16" spans="1:19" x14ac:dyDescent="0.25">
      <c r="A16">
        <v>2015</v>
      </c>
      <c r="B16">
        <v>12</v>
      </c>
      <c r="D16" s="329">
        <v>10</v>
      </c>
      <c r="E16" s="330">
        <v>13.840511860174782</v>
      </c>
      <c r="F16" s="330">
        <v>13.840511860174782</v>
      </c>
      <c r="H16" t="str">
        <f t="shared" si="8"/>
        <v>Ortdata!AD27</v>
      </c>
      <c r="I16">
        <f t="shared" ca="1" si="0"/>
        <v>2.8879999999999999</v>
      </c>
      <c r="J16" t="str">
        <f t="shared" si="1"/>
        <v>Ortdata!AD13</v>
      </c>
      <c r="K16">
        <f t="shared" ca="1" si="2"/>
        <v>0.37</v>
      </c>
      <c r="L16">
        <f t="shared" si="3"/>
        <v>12</v>
      </c>
      <c r="M16" s="4">
        <f t="shared" ca="1" si="4"/>
        <v>1.1784297052154193</v>
      </c>
      <c r="N16" s="4">
        <f t="shared" ca="1" si="5"/>
        <v>16.63</v>
      </c>
      <c r="O16" s="4">
        <f t="shared" ca="1" si="9"/>
        <v>1.1784297052154193</v>
      </c>
      <c r="P16">
        <v>0</v>
      </c>
      <c r="R16" s="2" t="str">
        <f t="shared" si="6"/>
        <v>201512</v>
      </c>
      <c r="S16" s="1">
        <f t="shared" ca="1" si="7"/>
        <v>1.1784297052154193</v>
      </c>
    </row>
    <row r="17" spans="1:19" x14ac:dyDescent="0.25">
      <c r="A17">
        <v>2016</v>
      </c>
      <c r="B17">
        <v>1</v>
      </c>
      <c r="D17" s="329">
        <v>10</v>
      </c>
      <c r="E17" s="330">
        <v>8.3207760406856295</v>
      </c>
      <c r="F17" s="330">
        <v>8.3207760406856295</v>
      </c>
      <c r="H17" t="str">
        <f t="shared" si="8"/>
        <v>Ortdata!AD28</v>
      </c>
      <c r="I17">
        <f t="shared" ca="1" si="0"/>
        <v>-14.103</v>
      </c>
      <c r="J17" t="str">
        <f>"Ortdata!"&amp;ADDRESS(ROW(G18)-16,$G$1,4)</f>
        <v>Ortdata!AB2</v>
      </c>
      <c r="K17">
        <f ca="1">K5</f>
        <v>-2.9620000000000002</v>
      </c>
      <c r="L17">
        <f t="shared" si="3"/>
        <v>1</v>
      </c>
      <c r="M17" s="4">
        <f t="shared" ca="1" si="4"/>
        <v>0.64180304150725009</v>
      </c>
      <c r="N17" s="4">
        <f t="shared" ca="1" si="5"/>
        <v>19.962</v>
      </c>
      <c r="O17" s="4">
        <f t="shared" ca="1" si="9"/>
        <v>0.64180304150725009</v>
      </c>
      <c r="P17">
        <v>0</v>
      </c>
      <c r="R17" s="2" t="str">
        <f t="shared" si="6"/>
        <v>201601</v>
      </c>
      <c r="S17" s="1">
        <f t="shared" ca="1" si="7"/>
        <v>0.64180304150725009</v>
      </c>
    </row>
    <row r="18" spans="1:19" x14ac:dyDescent="0.25">
      <c r="A18">
        <v>2016</v>
      </c>
      <c r="B18">
        <v>2</v>
      </c>
      <c r="D18" s="329">
        <v>10</v>
      </c>
      <c r="E18" s="330">
        <v>8.7737063919456801</v>
      </c>
      <c r="F18" s="330">
        <v>8.7737063919456801</v>
      </c>
      <c r="H18" t="str">
        <f t="shared" si="8"/>
        <v>Ortdata!AD29</v>
      </c>
      <c r="I18">
        <f t="shared" ca="1" si="0"/>
        <v>-7.3360000000000003</v>
      </c>
      <c r="J18" t="str">
        <f t="shared" ref="J18:J28" si="10">"Ortdata!"&amp;ADDRESS(ROW(G19)-16,$G$1,4)</f>
        <v>Ortdata!AB3</v>
      </c>
      <c r="K18">
        <f t="shared" ref="K18:K81" ca="1" si="11">K6</f>
        <v>-2.0379999999999998</v>
      </c>
      <c r="L18">
        <f t="shared" si="3"/>
        <v>2</v>
      </c>
      <c r="M18" s="4">
        <f t="shared" ca="1" si="4"/>
        <v>0.78229783037475353</v>
      </c>
      <c r="N18" s="4">
        <f t="shared" ca="1" si="5"/>
        <v>19.038</v>
      </c>
      <c r="O18" s="4">
        <f t="shared" ca="1" si="9"/>
        <v>0.78229783037475353</v>
      </c>
      <c r="P18">
        <v>0</v>
      </c>
      <c r="R18" s="2" t="str">
        <f t="shared" si="6"/>
        <v>201602</v>
      </c>
      <c r="S18" s="1">
        <f t="shared" ca="1" si="7"/>
        <v>0.78229783037475353</v>
      </c>
    </row>
    <row r="19" spans="1:19" x14ac:dyDescent="0.25">
      <c r="A19">
        <v>2016</v>
      </c>
      <c r="B19">
        <v>3</v>
      </c>
      <c r="D19" s="329">
        <v>10</v>
      </c>
      <c r="E19" s="330">
        <v>12.235471491228068</v>
      </c>
      <c r="F19" s="330">
        <v>12.235471491228068</v>
      </c>
      <c r="H19" t="str">
        <f t="shared" si="8"/>
        <v>Ortdata!AD30</v>
      </c>
      <c r="I19">
        <f t="shared" ca="1" si="0"/>
        <v>-1.516</v>
      </c>
      <c r="J19" t="str">
        <f t="shared" si="10"/>
        <v>Ortdata!AB4</v>
      </c>
      <c r="K19">
        <f t="shared" ca="1" si="11"/>
        <v>0.45200000000000001</v>
      </c>
      <c r="L19">
        <f t="shared" si="3"/>
        <v>3</v>
      </c>
      <c r="M19" s="4">
        <f t="shared" ca="1" si="4"/>
        <v>0.89371354504212575</v>
      </c>
      <c r="N19" s="4">
        <f t="shared" ca="1" si="5"/>
        <v>16.547999999999998</v>
      </c>
      <c r="O19" s="4">
        <f t="shared" ca="1" si="9"/>
        <v>0.89371354504212575</v>
      </c>
      <c r="P19">
        <v>0</v>
      </c>
      <c r="R19" s="2" t="str">
        <f t="shared" si="6"/>
        <v>201603</v>
      </c>
      <c r="S19" s="1">
        <f t="shared" ca="1" si="7"/>
        <v>0.89371354504212575</v>
      </c>
    </row>
    <row r="20" spans="1:19" x14ac:dyDescent="0.25">
      <c r="A20">
        <v>2016</v>
      </c>
      <c r="B20">
        <v>4</v>
      </c>
      <c r="D20" s="329">
        <v>10</v>
      </c>
      <c r="E20" s="330">
        <v>9.8653651969033991</v>
      </c>
      <c r="F20" s="330">
        <v>9.8653651969033991</v>
      </c>
      <c r="H20" t="str">
        <f t="shared" si="8"/>
        <v>Ortdata!AD31</v>
      </c>
      <c r="I20">
        <f t="shared" ca="1" si="0"/>
        <v>1.71</v>
      </c>
      <c r="J20" t="str">
        <f t="shared" si="10"/>
        <v>Ortdata!AB5</v>
      </c>
      <c r="K20">
        <f t="shared" ca="1" si="11"/>
        <v>4.8689999999999998</v>
      </c>
      <c r="L20">
        <f t="shared" si="3"/>
        <v>4</v>
      </c>
      <c r="M20" s="4">
        <f t="shared" ca="1" si="4"/>
        <v>0.79339437540876401</v>
      </c>
      <c r="N20" s="4">
        <f t="shared" ca="1" si="5"/>
        <v>12.131</v>
      </c>
      <c r="O20" s="4">
        <f t="shared" ca="1" si="9"/>
        <v>0.79339437540876401</v>
      </c>
      <c r="P20">
        <v>0</v>
      </c>
      <c r="R20" s="2" t="str">
        <f t="shared" si="6"/>
        <v>201604</v>
      </c>
      <c r="S20" s="1">
        <f t="shared" ca="1" si="7"/>
        <v>0.79339437540876401</v>
      </c>
    </row>
    <row r="21" spans="1:19" x14ac:dyDescent="0.25">
      <c r="A21">
        <v>2016</v>
      </c>
      <c r="B21">
        <v>5</v>
      </c>
      <c r="D21" s="329">
        <v>10</v>
      </c>
      <c r="E21" s="330">
        <v>12.954786294595548</v>
      </c>
      <c r="F21" s="330">
        <v>12.954786294595548</v>
      </c>
      <c r="H21" t="str">
        <f t="shared" si="8"/>
        <v>Ortdata!AD32</v>
      </c>
      <c r="I21">
        <f t="shared" ca="1" si="0"/>
        <v>8.7840000000000007</v>
      </c>
      <c r="J21" t="str">
        <f t="shared" si="10"/>
        <v>Ortdata!AB6</v>
      </c>
      <c r="K21">
        <f t="shared" ca="1" si="11"/>
        <v>11.42</v>
      </c>
      <c r="L21">
        <f t="shared" si="3"/>
        <v>5</v>
      </c>
      <c r="M21" s="4">
        <f t="shared" ca="1" si="4"/>
        <v>0.67916260954235641</v>
      </c>
      <c r="N21" s="4">
        <f t="shared" ca="1" si="5"/>
        <v>5.58</v>
      </c>
      <c r="O21" s="4">
        <f t="shared" ca="1" si="9"/>
        <v>0.7657742017946515</v>
      </c>
      <c r="P21">
        <f ca="1">(SUM(M17:M20)+SUM(M26:M28))/7</f>
        <v>0.7657742017946515</v>
      </c>
      <c r="R21" s="2" t="str">
        <f t="shared" si="6"/>
        <v>201605</v>
      </c>
      <c r="S21" s="1">
        <f t="shared" ca="1" si="7"/>
        <v>0.7657742017946515</v>
      </c>
    </row>
    <row r="22" spans="1:19" x14ac:dyDescent="0.25">
      <c r="A22">
        <v>2016</v>
      </c>
      <c r="B22">
        <v>6</v>
      </c>
      <c r="D22" s="329">
        <v>10</v>
      </c>
      <c r="E22" s="330">
        <v>15.372492836676216</v>
      </c>
      <c r="F22" s="330">
        <v>10</v>
      </c>
      <c r="H22" t="str">
        <f t="shared" si="8"/>
        <v>Ortdata!AD33</v>
      </c>
      <c r="I22">
        <f t="shared" ca="1" si="0"/>
        <v>12.946</v>
      </c>
      <c r="J22" t="str">
        <f t="shared" si="10"/>
        <v>Ortdata!AB7</v>
      </c>
      <c r="K22">
        <f t="shared" ca="1" si="11"/>
        <v>13.177</v>
      </c>
      <c r="L22">
        <f t="shared" si="3"/>
        <v>6</v>
      </c>
      <c r="M22" s="4">
        <f t="shared" ca="1" si="4"/>
        <v>0.94301924025653683</v>
      </c>
      <c r="N22" s="4">
        <f t="shared" ca="1" si="5"/>
        <v>3.8230000000000004</v>
      </c>
      <c r="O22" s="4">
        <f t="shared" ca="1" si="9"/>
        <v>0.7657742017946515</v>
      </c>
      <c r="P22">
        <f ca="1">P21</f>
        <v>0.7657742017946515</v>
      </c>
      <c r="R22" s="2" t="str">
        <f t="shared" si="6"/>
        <v>201606</v>
      </c>
      <c r="S22" s="1">
        <f t="shared" ca="1" si="7"/>
        <v>0.7657742017946515</v>
      </c>
    </row>
    <row r="23" spans="1:19" x14ac:dyDescent="0.25">
      <c r="A23">
        <v>2016</v>
      </c>
      <c r="B23">
        <v>7</v>
      </c>
      <c r="D23" s="329">
        <v>10</v>
      </c>
      <c r="E23" s="330">
        <v>19.745762711864447</v>
      </c>
      <c r="F23" s="330">
        <v>10</v>
      </c>
      <c r="H23" t="str">
        <f t="shared" si="8"/>
        <v>Ortdata!AD34</v>
      </c>
      <c r="I23">
        <f t="shared" ca="1" si="0"/>
        <v>15.144</v>
      </c>
      <c r="J23" t="str">
        <f t="shared" si="10"/>
        <v>Ortdata!AB8</v>
      </c>
      <c r="K23">
        <f t="shared" ca="1" si="11"/>
        <v>16.495000000000001</v>
      </c>
      <c r="L23">
        <f t="shared" si="3"/>
        <v>7</v>
      </c>
      <c r="M23" s="4">
        <f t="shared" ca="1" si="4"/>
        <v>0.27209051724137878</v>
      </c>
      <c r="N23" s="4">
        <f t="shared" ca="1" si="5"/>
        <v>0.50499999999999901</v>
      </c>
      <c r="O23" s="4">
        <f t="shared" ca="1" si="9"/>
        <v>0.7657742017946515</v>
      </c>
      <c r="P23">
        <f ca="1">P22</f>
        <v>0.7657742017946515</v>
      </c>
      <c r="R23" s="2" t="str">
        <f t="shared" si="6"/>
        <v>201607</v>
      </c>
      <c r="S23" s="1">
        <f t="shared" ca="1" si="7"/>
        <v>0.7657742017946515</v>
      </c>
    </row>
    <row r="24" spans="1:19" x14ac:dyDescent="0.25">
      <c r="A24">
        <v>2016</v>
      </c>
      <c r="B24">
        <v>8</v>
      </c>
      <c r="D24" s="329">
        <v>10</v>
      </c>
      <c r="E24" s="330">
        <v>6.5301563663439977</v>
      </c>
      <c r="F24" s="330">
        <v>10</v>
      </c>
      <c r="H24" t="str">
        <f t="shared" si="8"/>
        <v>Ortdata!AD35</v>
      </c>
      <c r="I24">
        <f t="shared" ca="1" si="0"/>
        <v>11.961</v>
      </c>
      <c r="J24" t="str">
        <f t="shared" si="10"/>
        <v>Ortdata!AB9</v>
      </c>
      <c r="K24">
        <f t="shared" ca="1" si="11"/>
        <v>14.679</v>
      </c>
      <c r="L24">
        <f t="shared" si="3"/>
        <v>8</v>
      </c>
      <c r="M24" s="4">
        <f t="shared" ca="1" si="4"/>
        <v>0.46060726334590196</v>
      </c>
      <c r="N24" s="4">
        <f t="shared" ca="1" si="5"/>
        <v>2.3209999999999997</v>
      </c>
      <c r="O24" s="4">
        <f t="shared" ca="1" si="9"/>
        <v>0.7657742017946515</v>
      </c>
      <c r="P24">
        <f ca="1">P23</f>
        <v>0.7657742017946515</v>
      </c>
      <c r="R24" s="2" t="str">
        <f t="shared" si="6"/>
        <v>201608</v>
      </c>
      <c r="S24" s="1">
        <f t="shared" ca="1" si="7"/>
        <v>0.7657742017946515</v>
      </c>
    </row>
    <row r="25" spans="1:19" x14ac:dyDescent="0.25">
      <c r="A25">
        <v>2016</v>
      </c>
      <c r="B25">
        <v>9</v>
      </c>
      <c r="D25" s="329">
        <v>10</v>
      </c>
      <c r="E25" s="330">
        <v>18.216560509554139</v>
      </c>
      <c r="F25" s="330">
        <v>18.216560509554139</v>
      </c>
      <c r="H25" t="str">
        <f t="shared" si="8"/>
        <v>Ortdata!AD36</v>
      </c>
      <c r="I25">
        <f t="shared" ca="1" si="0"/>
        <v>9.9619999999999997</v>
      </c>
      <c r="J25" t="str">
        <f t="shared" si="10"/>
        <v>Ortdata!AB10</v>
      </c>
      <c r="K25">
        <f t="shared" ca="1" si="11"/>
        <v>11.108000000000001</v>
      </c>
      <c r="L25">
        <f t="shared" si="3"/>
        <v>9</v>
      </c>
      <c r="M25" s="4">
        <f t="shared" ca="1" si="4"/>
        <v>0.83716965046888314</v>
      </c>
      <c r="N25" s="4">
        <f t="shared" ca="1" si="5"/>
        <v>5.8919999999999995</v>
      </c>
      <c r="O25" s="4">
        <f t="shared" ca="1" si="9"/>
        <v>0.7657742017946515</v>
      </c>
      <c r="P25">
        <f ca="1">P24</f>
        <v>0.7657742017946515</v>
      </c>
      <c r="R25" s="2" t="str">
        <f t="shared" si="6"/>
        <v>201609</v>
      </c>
      <c r="S25" s="1">
        <f t="shared" ca="1" si="7"/>
        <v>0.7657742017946515</v>
      </c>
    </row>
    <row r="26" spans="1:19" x14ac:dyDescent="0.25">
      <c r="A26">
        <v>2016</v>
      </c>
      <c r="B26">
        <v>10</v>
      </c>
      <c r="D26" s="329">
        <v>10</v>
      </c>
      <c r="E26" s="330">
        <v>9.4346063580115214</v>
      </c>
      <c r="F26" s="330">
        <v>9.4346063580115214</v>
      </c>
      <c r="H26" t="str">
        <f t="shared" si="8"/>
        <v>Ortdata!AD37</v>
      </c>
      <c r="I26">
        <f t="shared" ca="1" si="0"/>
        <v>1.766</v>
      </c>
      <c r="J26" t="str">
        <f t="shared" si="10"/>
        <v>Ortdata!AB11</v>
      </c>
      <c r="K26">
        <f t="shared" ca="1" si="11"/>
        <v>4.6559999999999997</v>
      </c>
      <c r="L26">
        <f t="shared" si="3"/>
        <v>10</v>
      </c>
      <c r="M26" s="4">
        <f t="shared" ca="1" si="4"/>
        <v>0.81029276618091117</v>
      </c>
      <c r="N26" s="4">
        <f t="shared" ca="1" si="5"/>
        <v>12.344000000000001</v>
      </c>
      <c r="O26" s="4">
        <f t="shared" ca="1" si="9"/>
        <v>0.81029276618091117</v>
      </c>
      <c r="P26">
        <v>0</v>
      </c>
      <c r="R26" s="2" t="str">
        <f t="shared" si="6"/>
        <v>201610</v>
      </c>
      <c r="S26" s="1">
        <f t="shared" ca="1" si="7"/>
        <v>0.81029276618091117</v>
      </c>
    </row>
    <row r="27" spans="1:19" x14ac:dyDescent="0.25">
      <c r="A27">
        <v>2016</v>
      </c>
      <c r="B27">
        <v>11</v>
      </c>
      <c r="D27" s="329">
        <v>10</v>
      </c>
      <c r="E27" s="330">
        <v>9.0971939812932092</v>
      </c>
      <c r="F27" s="330">
        <v>9.0971939812932092</v>
      </c>
      <c r="H27" t="str">
        <f t="shared" si="8"/>
        <v>Ortdata!AD38</v>
      </c>
      <c r="I27">
        <f t="shared" ca="1" si="0"/>
        <v>-3.282</v>
      </c>
      <c r="J27" t="str">
        <f t="shared" si="10"/>
        <v>Ortdata!AB12</v>
      </c>
      <c r="K27">
        <f t="shared" ca="1" si="11"/>
        <v>2.452</v>
      </c>
      <c r="L27">
        <f t="shared" si="3"/>
        <v>11</v>
      </c>
      <c r="M27" s="4">
        <f t="shared" ca="1" si="4"/>
        <v>0.71728626368208259</v>
      </c>
      <c r="N27" s="4">
        <f t="shared" ca="1" si="5"/>
        <v>14.548</v>
      </c>
      <c r="O27" s="4">
        <f t="shared" ca="1" si="9"/>
        <v>0.71728626368208259</v>
      </c>
      <c r="P27">
        <v>0</v>
      </c>
      <c r="R27" s="2" t="str">
        <f t="shared" si="6"/>
        <v>201611</v>
      </c>
      <c r="S27" s="1">
        <f t="shared" ca="1" si="7"/>
        <v>0.71728626368208259</v>
      </c>
    </row>
    <row r="28" spans="1:19" x14ac:dyDescent="0.25">
      <c r="A28">
        <v>2016</v>
      </c>
      <c r="B28">
        <v>12</v>
      </c>
      <c r="D28" s="329">
        <v>10</v>
      </c>
      <c r="E28" s="330">
        <v>11.925507597149387</v>
      </c>
      <c r="F28" s="330">
        <v>11.925507597149387</v>
      </c>
      <c r="H28" t="str">
        <f t="shared" si="8"/>
        <v>Ortdata!AD39</v>
      </c>
      <c r="I28">
        <f t="shared" ca="1" si="0"/>
        <v>-6.0449999999999999</v>
      </c>
      <c r="J28" t="str">
        <f t="shared" si="10"/>
        <v>Ortdata!AB13</v>
      </c>
      <c r="K28">
        <f t="shared" ca="1" si="11"/>
        <v>0.37</v>
      </c>
      <c r="L28">
        <f t="shared" si="3"/>
        <v>12</v>
      </c>
      <c r="M28" s="4">
        <f t="shared" ca="1" si="4"/>
        <v>0.72163159036667379</v>
      </c>
      <c r="N28" s="4">
        <f t="shared" ca="1" si="5"/>
        <v>16.63</v>
      </c>
      <c r="O28" s="4">
        <f t="shared" ca="1" si="9"/>
        <v>0.72163159036667379</v>
      </c>
      <c r="P28">
        <v>0</v>
      </c>
      <c r="R28" s="2" t="str">
        <f t="shared" si="6"/>
        <v>201612</v>
      </c>
      <c r="S28" s="1">
        <f t="shared" ca="1" si="7"/>
        <v>0.72163159036667379</v>
      </c>
    </row>
    <row r="29" spans="1:19" x14ac:dyDescent="0.25">
      <c r="A29">
        <v>2017</v>
      </c>
      <c r="B29">
        <v>1</v>
      </c>
      <c r="D29" s="329">
        <v>10</v>
      </c>
      <c r="E29" s="330">
        <v>10.063215445070902</v>
      </c>
      <c r="F29" s="330">
        <v>10.063215445070902</v>
      </c>
      <c r="H29" t="str">
        <f t="shared" si="8"/>
        <v>Ortdata!AD40</v>
      </c>
      <c r="I29">
        <f t="shared" ca="1" si="0"/>
        <v>-0.73499999999999999</v>
      </c>
      <c r="J29" t="str">
        <f>"Ortdata!"&amp;ADDRESS(ROW(G30)-28,$G$1,4)</f>
        <v>Ortdata!AB2</v>
      </c>
      <c r="K29">
        <f t="shared" ca="1" si="11"/>
        <v>-2.9620000000000002</v>
      </c>
      <c r="L29">
        <f t="shared" si="3"/>
        <v>1</v>
      </c>
      <c r="M29" s="4">
        <f t="shared" ca="1" si="4"/>
        <v>1.1255709049901326</v>
      </c>
      <c r="N29" s="4">
        <f t="shared" ca="1" si="5"/>
        <v>19.962</v>
      </c>
      <c r="O29" s="4">
        <f t="shared" ca="1" si="9"/>
        <v>1.1255709049901326</v>
      </c>
      <c r="P29">
        <v>0</v>
      </c>
      <c r="R29" s="2" t="str">
        <f t="shared" si="6"/>
        <v>201701</v>
      </c>
      <c r="S29" s="1">
        <f t="shared" ca="1" si="7"/>
        <v>1.1255709049901326</v>
      </c>
    </row>
    <row r="30" spans="1:19" x14ac:dyDescent="0.25">
      <c r="A30">
        <v>2017</v>
      </c>
      <c r="B30">
        <v>2</v>
      </c>
      <c r="D30" s="329">
        <v>10</v>
      </c>
      <c r="E30" s="330">
        <v>9.0121452621452605</v>
      </c>
      <c r="F30" s="330">
        <v>9.0121452621452605</v>
      </c>
      <c r="H30" t="str">
        <f t="shared" si="8"/>
        <v>Ortdata!AD41</v>
      </c>
      <c r="I30">
        <f t="shared" ca="1" si="0"/>
        <v>-0.94099999999999995</v>
      </c>
      <c r="J30" t="str">
        <f t="shared" ref="J30:J40" si="12">"Ortdata!"&amp;ADDRESS(ROW(G31)-28,$G$1,4)</f>
        <v>Ortdata!AB3</v>
      </c>
      <c r="K30">
        <f t="shared" ca="1" si="11"/>
        <v>-2.0379999999999998</v>
      </c>
      <c r="L30">
        <f t="shared" si="3"/>
        <v>2</v>
      </c>
      <c r="M30" s="4">
        <f t="shared" ca="1" si="4"/>
        <v>1.0611448637199712</v>
      </c>
      <c r="N30" s="4">
        <f t="shared" ca="1" si="5"/>
        <v>19.038</v>
      </c>
      <c r="O30" s="4">
        <f t="shared" ca="1" si="9"/>
        <v>1.0611448637199712</v>
      </c>
      <c r="P30">
        <v>0</v>
      </c>
      <c r="R30" s="2" t="str">
        <f t="shared" si="6"/>
        <v>201702</v>
      </c>
      <c r="S30" s="1">
        <f t="shared" ca="1" si="7"/>
        <v>1.0611448637199712</v>
      </c>
    </row>
    <row r="31" spans="1:19" x14ac:dyDescent="0.25">
      <c r="A31">
        <v>2017</v>
      </c>
      <c r="B31">
        <v>3</v>
      </c>
      <c r="D31" s="329">
        <v>10</v>
      </c>
      <c r="E31" s="330">
        <v>12.753768126294734</v>
      </c>
      <c r="F31" s="330">
        <v>12.753768126294734</v>
      </c>
      <c r="H31" t="str">
        <f t="shared" si="8"/>
        <v>Ortdata!AD42</v>
      </c>
      <c r="I31">
        <f t="shared" ca="1" si="0"/>
        <v>2.3620000000000001</v>
      </c>
      <c r="J31" t="str">
        <f t="shared" si="12"/>
        <v>Ortdata!AB4</v>
      </c>
      <c r="K31">
        <f t="shared" ca="1" si="11"/>
        <v>0.45200000000000001</v>
      </c>
      <c r="L31">
        <f t="shared" si="3"/>
        <v>3</v>
      </c>
      <c r="M31" s="4">
        <f t="shared" ca="1" si="4"/>
        <v>1.1304823063260008</v>
      </c>
      <c r="N31" s="4">
        <f t="shared" ca="1" si="5"/>
        <v>16.547999999999998</v>
      </c>
      <c r="O31" s="4">
        <f t="shared" ca="1" si="9"/>
        <v>1.1304823063260008</v>
      </c>
      <c r="P31">
        <v>0</v>
      </c>
      <c r="R31" s="2" t="str">
        <f t="shared" si="6"/>
        <v>201703</v>
      </c>
      <c r="S31" s="1">
        <f t="shared" ca="1" si="7"/>
        <v>1.1304823063260008</v>
      </c>
    </row>
    <row r="32" spans="1:19" x14ac:dyDescent="0.25">
      <c r="A32">
        <v>2017</v>
      </c>
      <c r="B32">
        <v>4</v>
      </c>
      <c r="D32" s="329">
        <v>10</v>
      </c>
      <c r="E32" s="330">
        <v>9.2679841897233199</v>
      </c>
      <c r="F32" s="330">
        <v>9.2679841897233199</v>
      </c>
      <c r="H32" t="str">
        <f t="shared" si="8"/>
        <v>Ortdata!AD43</v>
      </c>
      <c r="I32">
        <f t="shared" ca="1" si="0"/>
        <v>4.3789999999999996</v>
      </c>
      <c r="J32" t="str">
        <f t="shared" si="12"/>
        <v>Ortdata!AB5</v>
      </c>
      <c r="K32">
        <f t="shared" ca="1" si="11"/>
        <v>4.8689999999999998</v>
      </c>
      <c r="L32">
        <f t="shared" si="3"/>
        <v>4</v>
      </c>
      <c r="M32" s="4">
        <f t="shared" ca="1" si="4"/>
        <v>0.96117581808097619</v>
      </c>
      <c r="N32" s="4">
        <f t="shared" ca="1" si="5"/>
        <v>12.131</v>
      </c>
      <c r="O32" s="4">
        <f t="shared" ca="1" si="9"/>
        <v>0.96117581808097619</v>
      </c>
      <c r="P32">
        <v>0</v>
      </c>
      <c r="R32" s="2" t="str">
        <f t="shared" si="6"/>
        <v>201704</v>
      </c>
      <c r="S32" s="1">
        <f t="shared" ca="1" si="7"/>
        <v>0.96117581808097619</v>
      </c>
    </row>
    <row r="33" spans="1:19" x14ac:dyDescent="0.25">
      <c r="A33">
        <v>2017</v>
      </c>
      <c r="B33">
        <v>5</v>
      </c>
      <c r="D33" s="329">
        <v>10</v>
      </c>
      <c r="E33" s="330">
        <v>10.297627404183633</v>
      </c>
      <c r="F33" s="330">
        <v>10.297627404183633</v>
      </c>
      <c r="H33" t="str">
        <f t="shared" si="8"/>
        <v>Ortdata!AD44</v>
      </c>
      <c r="I33">
        <f t="shared" ca="1" si="0"/>
        <v>11.263</v>
      </c>
      <c r="J33" t="str">
        <f t="shared" si="12"/>
        <v>Ortdata!AB6</v>
      </c>
      <c r="K33">
        <f t="shared" ca="1" si="11"/>
        <v>11.42</v>
      </c>
      <c r="L33">
        <f t="shared" si="3"/>
        <v>5</v>
      </c>
      <c r="M33" s="4">
        <f t="shared" ca="1" si="4"/>
        <v>0.97263378072163154</v>
      </c>
      <c r="N33" s="4">
        <f t="shared" ca="1" si="5"/>
        <v>5.58</v>
      </c>
      <c r="O33" s="4">
        <f t="shared" ca="1" si="9"/>
        <v>1.0714919147158646</v>
      </c>
      <c r="P33">
        <f ca="1">(SUM(M29:M32)+SUM(M38:M40))/7</f>
        <v>1.0714919147158646</v>
      </c>
      <c r="R33" s="2" t="str">
        <f t="shared" si="6"/>
        <v>201705</v>
      </c>
      <c r="S33" s="1">
        <f t="shared" ca="1" si="7"/>
        <v>1.0714919147158646</v>
      </c>
    </row>
    <row r="34" spans="1:19" x14ac:dyDescent="0.25">
      <c r="A34">
        <v>2017</v>
      </c>
      <c r="B34">
        <v>6</v>
      </c>
      <c r="D34" s="329">
        <v>10</v>
      </c>
      <c r="E34" s="330">
        <v>8.80590890439065</v>
      </c>
      <c r="F34" s="330">
        <v>10</v>
      </c>
      <c r="H34" t="str">
        <f t="shared" si="8"/>
        <v>Ortdata!AD45</v>
      </c>
      <c r="I34">
        <f t="shared" ca="1" si="0"/>
        <v>14.749000000000001</v>
      </c>
      <c r="J34" t="str">
        <f t="shared" si="12"/>
        <v>Ortdata!AB7</v>
      </c>
      <c r="K34">
        <f t="shared" ca="1" si="11"/>
        <v>13.177</v>
      </c>
      <c r="L34">
        <f t="shared" si="3"/>
        <v>6</v>
      </c>
      <c r="M34" s="4">
        <f t="shared" ca="1" si="4"/>
        <v>1.6983562860950694</v>
      </c>
      <c r="N34" s="4">
        <f t="shared" ca="1" si="5"/>
        <v>3.8230000000000004</v>
      </c>
      <c r="O34" s="4">
        <f t="shared" ca="1" si="9"/>
        <v>1.0714919147158646</v>
      </c>
      <c r="P34">
        <f ca="1">P33</f>
        <v>1.0714919147158646</v>
      </c>
      <c r="R34" s="2" t="str">
        <f t="shared" si="6"/>
        <v>201706</v>
      </c>
      <c r="S34" s="1">
        <f t="shared" ca="1" si="7"/>
        <v>1.0714919147158646</v>
      </c>
    </row>
    <row r="35" spans="1:19" x14ac:dyDescent="0.25">
      <c r="A35">
        <v>2017</v>
      </c>
      <c r="B35">
        <v>7</v>
      </c>
      <c r="D35" s="329">
        <v>10</v>
      </c>
      <c r="E35" s="330">
        <v>-23.897435897435855</v>
      </c>
      <c r="F35" s="330">
        <v>10</v>
      </c>
      <c r="H35" t="str">
        <f t="shared" si="8"/>
        <v>Ortdata!AD46</v>
      </c>
      <c r="I35">
        <f t="shared" ca="1" si="0"/>
        <v>16.074000000000002</v>
      </c>
      <c r="J35" t="str">
        <f t="shared" si="12"/>
        <v>Ortdata!AB8</v>
      </c>
      <c r="K35">
        <f t="shared" ca="1" si="11"/>
        <v>16.495000000000001</v>
      </c>
      <c r="L35">
        <f t="shared" si="3"/>
        <v>7</v>
      </c>
      <c r="M35" s="4">
        <f t="shared" ca="1" si="4"/>
        <v>0.54535637149028071</v>
      </c>
      <c r="N35" s="4">
        <f t="shared" ca="1" si="5"/>
        <v>0.50499999999999901</v>
      </c>
      <c r="O35" s="4">
        <f t="shared" ca="1" si="9"/>
        <v>1.0714919147158646</v>
      </c>
      <c r="P35">
        <f ca="1">P34</f>
        <v>1.0714919147158646</v>
      </c>
      <c r="R35" s="2" t="str">
        <f t="shared" si="6"/>
        <v>201707</v>
      </c>
      <c r="S35" s="1">
        <f t="shared" ca="1" si="7"/>
        <v>1.0714919147158646</v>
      </c>
    </row>
    <row r="36" spans="1:19" x14ac:dyDescent="0.25">
      <c r="A36">
        <v>2017</v>
      </c>
      <c r="B36">
        <v>8</v>
      </c>
      <c r="D36" s="329">
        <v>10</v>
      </c>
      <c r="E36" s="330">
        <v>7.5734024179619972</v>
      </c>
      <c r="F36" s="330">
        <v>10</v>
      </c>
      <c r="H36" t="str">
        <f t="shared" si="8"/>
        <v>Ortdata!AD47</v>
      </c>
      <c r="I36">
        <f t="shared" ca="1" si="0"/>
        <v>14.393000000000001</v>
      </c>
      <c r="J36" t="str">
        <f t="shared" si="12"/>
        <v>Ortdata!AB9</v>
      </c>
      <c r="K36">
        <f t="shared" ca="1" si="11"/>
        <v>14.679</v>
      </c>
      <c r="L36">
        <f t="shared" si="3"/>
        <v>8</v>
      </c>
      <c r="M36" s="4">
        <f t="shared" ca="1" si="4"/>
        <v>0.89029535864978915</v>
      </c>
      <c r="N36" s="4">
        <f t="shared" ca="1" si="5"/>
        <v>2.3209999999999997</v>
      </c>
      <c r="O36" s="4">
        <f t="shared" ca="1" si="9"/>
        <v>1.0714919147158646</v>
      </c>
      <c r="P36">
        <f ca="1">P35</f>
        <v>1.0714919147158646</v>
      </c>
      <c r="R36" s="2" t="str">
        <f t="shared" si="6"/>
        <v>201708</v>
      </c>
      <c r="S36" s="1">
        <f t="shared" ca="1" si="7"/>
        <v>1.0714919147158646</v>
      </c>
    </row>
    <row r="37" spans="1:19" x14ac:dyDescent="0.25">
      <c r="A37">
        <v>2017</v>
      </c>
      <c r="B37">
        <v>9</v>
      </c>
      <c r="D37" s="329">
        <v>10</v>
      </c>
      <c r="E37" s="330">
        <v>12.808219178082194</v>
      </c>
      <c r="F37" s="330">
        <v>12.808219178082194</v>
      </c>
      <c r="H37" t="str">
        <f t="shared" si="8"/>
        <v>Ortdata!AD48</v>
      </c>
      <c r="I37">
        <f t="shared" ca="1" si="0"/>
        <v>11.41</v>
      </c>
      <c r="J37" t="str">
        <f t="shared" si="12"/>
        <v>Ortdata!AB10</v>
      </c>
      <c r="K37">
        <f t="shared" ca="1" si="11"/>
        <v>11.108000000000001</v>
      </c>
      <c r="L37">
        <f t="shared" si="3"/>
        <v>9</v>
      </c>
      <c r="M37" s="4">
        <f t="shared" ca="1" si="4"/>
        <v>1.0540250447227191</v>
      </c>
      <c r="N37" s="4">
        <f t="shared" ca="1" si="5"/>
        <v>5.8919999999999995</v>
      </c>
      <c r="O37" s="4">
        <f t="shared" ca="1" si="9"/>
        <v>1.0714919147158646</v>
      </c>
      <c r="P37">
        <f ca="1">P36</f>
        <v>1.0714919147158646</v>
      </c>
      <c r="R37" s="2" t="str">
        <f t="shared" si="6"/>
        <v>201709</v>
      </c>
      <c r="S37" s="1">
        <f t="shared" ca="1" si="7"/>
        <v>1.0714919147158646</v>
      </c>
    </row>
    <row r="38" spans="1:19" x14ac:dyDescent="0.25">
      <c r="A38">
        <v>2017</v>
      </c>
      <c r="B38">
        <v>10</v>
      </c>
      <c r="D38" s="329">
        <v>10</v>
      </c>
      <c r="E38" s="330">
        <v>10.381500176077003</v>
      </c>
      <c r="F38" s="330">
        <v>10.381500176077003</v>
      </c>
      <c r="H38" t="str">
        <f t="shared" si="8"/>
        <v>Ortdata!AD49</v>
      </c>
      <c r="I38">
        <f t="shared" ca="1" si="0"/>
        <v>7.2190000000000003</v>
      </c>
      <c r="J38" t="str">
        <f t="shared" si="12"/>
        <v>Ortdata!AB11</v>
      </c>
      <c r="K38">
        <f t="shared" ca="1" si="11"/>
        <v>4.6559999999999997</v>
      </c>
      <c r="L38">
        <f t="shared" si="3"/>
        <v>10</v>
      </c>
      <c r="M38" s="4">
        <f t="shared" ca="1" si="4"/>
        <v>1.2620386463551787</v>
      </c>
      <c r="N38" s="4">
        <f t="shared" ca="1" si="5"/>
        <v>12.344000000000001</v>
      </c>
      <c r="O38" s="4">
        <f t="shared" ca="1" si="9"/>
        <v>1.2620386463551787</v>
      </c>
      <c r="P38">
        <v>0</v>
      </c>
      <c r="R38" s="2" t="str">
        <f t="shared" si="6"/>
        <v>201710</v>
      </c>
      <c r="S38" s="1">
        <f t="shared" ca="1" si="7"/>
        <v>1.2620386463551787</v>
      </c>
    </row>
    <row r="39" spans="1:19" x14ac:dyDescent="0.25">
      <c r="A39">
        <v>2017</v>
      </c>
      <c r="B39">
        <v>11</v>
      </c>
      <c r="D39" s="329">
        <v>10</v>
      </c>
      <c r="E39" s="330">
        <v>10.108450067781291</v>
      </c>
      <c r="F39" s="330">
        <v>10.108450067781291</v>
      </c>
      <c r="H39" t="str">
        <f t="shared" si="8"/>
        <v>Ortdata!AD50</v>
      </c>
      <c r="I39">
        <f t="shared" ca="1" si="0"/>
        <v>1.758</v>
      </c>
      <c r="J39" t="str">
        <f t="shared" si="12"/>
        <v>Ortdata!AB12</v>
      </c>
      <c r="K39">
        <f t="shared" ca="1" si="11"/>
        <v>2.452</v>
      </c>
      <c r="L39">
        <f t="shared" si="3"/>
        <v>11</v>
      </c>
      <c r="M39" s="4">
        <f t="shared" ca="1" si="4"/>
        <v>0.95446791759611593</v>
      </c>
      <c r="N39" s="4">
        <f t="shared" ca="1" si="5"/>
        <v>14.548</v>
      </c>
      <c r="O39" s="4">
        <f t="shared" ca="1" si="9"/>
        <v>0.95446791759611593</v>
      </c>
      <c r="P39">
        <v>0</v>
      </c>
      <c r="R39" s="2" t="str">
        <f t="shared" si="6"/>
        <v>201711</v>
      </c>
      <c r="S39" s="1">
        <f t="shared" ca="1" si="7"/>
        <v>0.95446791759611593</v>
      </c>
    </row>
    <row r="40" spans="1:19" x14ac:dyDescent="0.25">
      <c r="A40">
        <v>2017</v>
      </c>
      <c r="B40">
        <v>12</v>
      </c>
      <c r="D40" s="329">
        <v>10</v>
      </c>
      <c r="E40" s="330">
        <v>11.629187700780175</v>
      </c>
      <c r="F40" s="330">
        <v>11.629187700780175</v>
      </c>
      <c r="H40" t="str">
        <f t="shared" si="8"/>
        <v>Ortdata!AD51</v>
      </c>
      <c r="I40">
        <f t="shared" ca="1" si="0"/>
        <v>0.46200000000000002</v>
      </c>
      <c r="J40" t="str">
        <f t="shared" si="12"/>
        <v>Ortdata!AB13</v>
      </c>
      <c r="K40">
        <f t="shared" ca="1" si="11"/>
        <v>0.37</v>
      </c>
      <c r="L40">
        <f t="shared" si="3"/>
        <v>12</v>
      </c>
      <c r="M40" s="4">
        <f t="shared" ca="1" si="4"/>
        <v>1.0055629459426774</v>
      </c>
      <c r="N40" s="4">
        <f t="shared" ca="1" si="5"/>
        <v>16.63</v>
      </c>
      <c r="O40" s="4">
        <f t="shared" ca="1" si="9"/>
        <v>1.0055629459426774</v>
      </c>
      <c r="P40">
        <v>0</v>
      </c>
      <c r="R40" s="2" t="str">
        <f t="shared" si="6"/>
        <v>201712</v>
      </c>
      <c r="S40" s="1">
        <f t="shared" ca="1" si="7"/>
        <v>1.0055629459426774</v>
      </c>
    </row>
    <row r="41" spans="1:19" x14ac:dyDescent="0.25">
      <c r="A41">
        <v>2018</v>
      </c>
      <c r="B41">
        <v>1</v>
      </c>
      <c r="D41" s="329">
        <v>10</v>
      </c>
      <c r="E41" s="330">
        <v>10.567549787692126</v>
      </c>
      <c r="F41" s="330">
        <v>10.567549787692126</v>
      </c>
      <c r="H41" t="str">
        <f t="shared" si="8"/>
        <v>Ortdata!AD52</v>
      </c>
      <c r="I41">
        <f t="shared" ca="1" si="0"/>
        <v>-0.61899999999999999</v>
      </c>
      <c r="J41" t="str">
        <f>"Ortdata!"&amp;ADDRESS(ROW(G42)-40,$G$1,4)</f>
        <v>Ortdata!AB2</v>
      </c>
      <c r="K41">
        <f t="shared" ca="1" si="11"/>
        <v>-2.9620000000000002</v>
      </c>
      <c r="L41">
        <f t="shared" si="3"/>
        <v>1</v>
      </c>
      <c r="M41" s="4">
        <f t="shared" ca="1" si="4"/>
        <v>1.1329814404903797</v>
      </c>
      <c r="N41" s="4">
        <f t="shared" ca="1" si="5"/>
        <v>19.962</v>
      </c>
      <c r="O41" s="4">
        <f t="shared" ca="1" si="9"/>
        <v>1.1329814404903797</v>
      </c>
      <c r="P41">
        <v>0</v>
      </c>
      <c r="R41" s="2" t="str">
        <f t="shared" si="6"/>
        <v>201801</v>
      </c>
      <c r="S41" s="1">
        <f t="shared" ca="1" si="7"/>
        <v>1.1329814404903797</v>
      </c>
    </row>
    <row r="42" spans="1:19" x14ac:dyDescent="0.25">
      <c r="A42">
        <v>2018</v>
      </c>
      <c r="B42">
        <v>2</v>
      </c>
      <c r="D42" s="329">
        <v>10</v>
      </c>
      <c r="E42" s="330">
        <v>7.3801083210241272</v>
      </c>
      <c r="F42" s="330">
        <v>7.3801083210241272</v>
      </c>
      <c r="H42" t="str">
        <f t="shared" si="8"/>
        <v>Ortdata!AD53</v>
      </c>
      <c r="I42">
        <f t="shared" ca="1" si="0"/>
        <v>-4.1070000000000002</v>
      </c>
      <c r="J42" t="str">
        <f t="shared" ref="J42:J52" si="13">"Ortdata!"&amp;ADDRESS(ROW(G43)-40,$G$1,4)</f>
        <v>Ortdata!AB3</v>
      </c>
      <c r="K42">
        <f t="shared" ca="1" si="11"/>
        <v>-2.0379999999999998</v>
      </c>
      <c r="L42">
        <f t="shared" si="3"/>
        <v>2</v>
      </c>
      <c r="M42" s="4">
        <f t="shared" ca="1" si="4"/>
        <v>0.90197564788932583</v>
      </c>
      <c r="N42" s="4">
        <f t="shared" ca="1" si="5"/>
        <v>19.038</v>
      </c>
      <c r="O42" s="4">
        <f t="shared" ca="1" si="9"/>
        <v>0.90197564788932583</v>
      </c>
      <c r="P42">
        <v>0</v>
      </c>
      <c r="R42" s="2" t="str">
        <f t="shared" si="6"/>
        <v>201802</v>
      </c>
      <c r="S42" s="1">
        <f t="shared" ca="1" si="7"/>
        <v>0.90197564788932583</v>
      </c>
    </row>
    <row r="43" spans="1:19" x14ac:dyDescent="0.25">
      <c r="A43">
        <v>2018</v>
      </c>
      <c r="B43">
        <v>3</v>
      </c>
      <c r="D43" s="329">
        <v>10</v>
      </c>
      <c r="E43" s="330">
        <v>9.5875845773815911</v>
      </c>
      <c r="F43" s="330">
        <v>9.5875845773815911</v>
      </c>
      <c r="H43" t="str">
        <f t="shared" si="8"/>
        <v>Ortdata!AD54</v>
      </c>
      <c r="I43">
        <f t="shared" ca="1" si="0"/>
        <v>-2.84</v>
      </c>
      <c r="J43" t="str">
        <f t="shared" si="13"/>
        <v>Ortdata!AB4</v>
      </c>
      <c r="K43">
        <f t="shared" ca="1" si="11"/>
        <v>0.45200000000000001</v>
      </c>
      <c r="L43">
        <f t="shared" si="3"/>
        <v>3</v>
      </c>
      <c r="M43" s="4">
        <f t="shared" ca="1" si="4"/>
        <v>0.83407258064516121</v>
      </c>
      <c r="N43" s="4">
        <f t="shared" ca="1" si="5"/>
        <v>16.547999999999998</v>
      </c>
      <c r="O43" s="4">
        <f t="shared" ca="1" si="9"/>
        <v>0.83407258064516121</v>
      </c>
      <c r="P43">
        <v>0</v>
      </c>
      <c r="R43" s="2" t="str">
        <f t="shared" si="6"/>
        <v>201803</v>
      </c>
      <c r="S43" s="1">
        <f t="shared" ca="1" si="7"/>
        <v>0.83407258064516121</v>
      </c>
    </row>
    <row r="44" spans="1:19" x14ac:dyDescent="0.25">
      <c r="A44">
        <v>2018</v>
      </c>
      <c r="B44">
        <v>4</v>
      </c>
      <c r="D44" s="329">
        <v>10</v>
      </c>
      <c r="E44" s="330">
        <v>10.701962574167048</v>
      </c>
      <c r="F44" s="330">
        <v>10.701962574167048</v>
      </c>
      <c r="H44" t="str">
        <f t="shared" si="8"/>
        <v>Ortdata!AD55</v>
      </c>
      <c r="I44">
        <f t="shared" ca="1" si="0"/>
        <v>6.0869999999999997</v>
      </c>
      <c r="J44" t="str">
        <f t="shared" si="13"/>
        <v>Ortdata!AB5</v>
      </c>
      <c r="K44">
        <f t="shared" ca="1" si="11"/>
        <v>4.8689999999999998</v>
      </c>
      <c r="L44">
        <f t="shared" si="3"/>
        <v>4</v>
      </c>
      <c r="M44" s="4">
        <f t="shared" ca="1" si="4"/>
        <v>1.1116100064143681</v>
      </c>
      <c r="N44" s="4">
        <f t="shared" ca="1" si="5"/>
        <v>12.131</v>
      </c>
      <c r="O44" s="4">
        <f t="shared" ca="1" si="9"/>
        <v>1.1116100064143681</v>
      </c>
      <c r="P44">
        <v>0</v>
      </c>
      <c r="R44" s="2" t="str">
        <f t="shared" si="6"/>
        <v>201804</v>
      </c>
      <c r="S44" s="1">
        <f t="shared" ca="1" si="7"/>
        <v>1.1116100064143681</v>
      </c>
    </row>
    <row r="45" spans="1:19" x14ac:dyDescent="0.25">
      <c r="A45">
        <v>2018</v>
      </c>
      <c r="B45">
        <v>5</v>
      </c>
      <c r="D45" s="329">
        <v>10</v>
      </c>
      <c r="E45" s="330">
        <v>19.991823385118561</v>
      </c>
      <c r="F45" s="330">
        <v>19.991823385118561</v>
      </c>
      <c r="H45" t="str">
        <f t="shared" si="8"/>
        <v>Ortdata!AD56</v>
      </c>
      <c r="I45">
        <f t="shared" ca="1" si="0"/>
        <v>15.205</v>
      </c>
      <c r="J45" t="str">
        <f t="shared" si="13"/>
        <v>Ortdata!AB6</v>
      </c>
      <c r="K45">
        <f t="shared" ca="1" si="11"/>
        <v>11.42</v>
      </c>
      <c r="L45">
        <f t="shared" si="3"/>
        <v>5</v>
      </c>
      <c r="M45" s="4">
        <f t="shared" ca="1" si="4"/>
        <v>3.1086350974930363</v>
      </c>
      <c r="N45" s="4">
        <f t="shared" ca="1" si="5"/>
        <v>5.58</v>
      </c>
      <c r="O45" s="4">
        <f t="shared" ca="1" si="9"/>
        <v>1.0406863648338487</v>
      </c>
      <c r="P45">
        <f ca="1">(SUM(M41:M44)+SUM(M50:M52))/7</f>
        <v>1.0406863648338487</v>
      </c>
      <c r="R45" s="2" t="str">
        <f t="shared" si="6"/>
        <v>201805</v>
      </c>
      <c r="S45" s="1">
        <f ca="1">O45</f>
        <v>1.0406863648338487</v>
      </c>
    </row>
    <row r="46" spans="1:19" x14ac:dyDescent="0.25">
      <c r="A46">
        <v>2018</v>
      </c>
      <c r="B46">
        <v>6</v>
      </c>
      <c r="D46" s="329">
        <v>10</v>
      </c>
      <c r="E46" s="330">
        <v>31.982116244411365</v>
      </c>
      <c r="F46" s="330">
        <v>10</v>
      </c>
      <c r="H46" t="str">
        <f t="shared" si="8"/>
        <v>Ortdata!AD57</v>
      </c>
      <c r="I46">
        <f t="shared" ca="1" si="0"/>
        <v>16.606000000000002</v>
      </c>
      <c r="J46" t="str">
        <f t="shared" si="13"/>
        <v>Ortdata!AB7</v>
      </c>
      <c r="K46">
        <f t="shared" ca="1" si="11"/>
        <v>13.177</v>
      </c>
      <c r="L46">
        <f t="shared" si="3"/>
        <v>6</v>
      </c>
      <c r="M46" s="4">
        <f t="shared" ca="1" si="4"/>
        <v>9.7030456852792302</v>
      </c>
      <c r="N46" s="4">
        <f t="shared" ca="1" si="5"/>
        <v>3.8230000000000004</v>
      </c>
      <c r="O46" s="4">
        <f t="shared" ca="1" si="9"/>
        <v>1.0406863648338487</v>
      </c>
      <c r="P46">
        <f ca="1">P45</f>
        <v>1.0406863648338487</v>
      </c>
      <c r="R46" s="2" t="str">
        <f t="shared" si="6"/>
        <v>201806</v>
      </c>
      <c r="S46" s="1">
        <f t="shared" ca="1" si="7"/>
        <v>1.0406863648338487</v>
      </c>
    </row>
    <row r="47" spans="1:19" x14ac:dyDescent="0.25">
      <c r="A47">
        <v>2018</v>
      </c>
      <c r="B47">
        <v>7</v>
      </c>
      <c r="D47" s="329">
        <v>10</v>
      </c>
      <c r="E47" s="330">
        <v>3.7989130434782603</v>
      </c>
      <c r="F47" s="330">
        <v>10</v>
      </c>
      <c r="H47" t="str">
        <f t="shared" si="8"/>
        <v>Ortdata!AD58</v>
      </c>
      <c r="I47">
        <f t="shared" ca="1" si="0"/>
        <v>20.59</v>
      </c>
      <c r="J47" t="str">
        <f t="shared" si="13"/>
        <v>Ortdata!AB8</v>
      </c>
      <c r="K47">
        <f t="shared" ca="1" si="11"/>
        <v>16.495000000000001</v>
      </c>
      <c r="L47">
        <f t="shared" si="3"/>
        <v>7</v>
      </c>
      <c r="M47" s="4">
        <f t="shared" ca="1" si="4"/>
        <v>-0.14066852367687996</v>
      </c>
      <c r="N47" s="4">
        <f t="shared" ca="1" si="5"/>
        <v>0.50499999999999901</v>
      </c>
      <c r="O47" s="4">
        <f t="shared" ca="1" si="9"/>
        <v>1.0406863648338487</v>
      </c>
      <c r="P47">
        <f ca="1">P46</f>
        <v>1.0406863648338487</v>
      </c>
      <c r="R47" s="2" t="str">
        <f t="shared" si="6"/>
        <v>201807</v>
      </c>
      <c r="S47" s="1">
        <f t="shared" ca="1" si="7"/>
        <v>1.0406863648338487</v>
      </c>
    </row>
    <row r="48" spans="1:19" x14ac:dyDescent="0.25">
      <c r="A48">
        <v>2018</v>
      </c>
      <c r="B48">
        <v>8</v>
      </c>
      <c r="D48" s="329">
        <v>10</v>
      </c>
      <c r="E48" s="330">
        <v>-7.6327241079199144</v>
      </c>
      <c r="F48" s="330">
        <v>10</v>
      </c>
      <c r="H48" t="str">
        <f t="shared" si="8"/>
        <v>Ortdata!AD59</v>
      </c>
      <c r="I48">
        <f t="shared" ca="1" si="0"/>
        <v>15.66</v>
      </c>
      <c r="J48" t="str">
        <f t="shared" si="13"/>
        <v>Ortdata!AB9</v>
      </c>
      <c r="K48">
        <f t="shared" ca="1" si="11"/>
        <v>14.679</v>
      </c>
      <c r="L48">
        <f t="shared" si="3"/>
        <v>8</v>
      </c>
      <c r="M48" s="4">
        <f t="shared" ca="1" si="4"/>
        <v>1.732089552238806</v>
      </c>
      <c r="N48" s="4">
        <f t="shared" ca="1" si="5"/>
        <v>2.3209999999999997</v>
      </c>
      <c r="O48" s="4">
        <f t="shared" ca="1" si="9"/>
        <v>1.0406863648338487</v>
      </c>
      <c r="P48">
        <f ca="1">P47</f>
        <v>1.0406863648338487</v>
      </c>
      <c r="R48" s="2" t="str">
        <f t="shared" si="6"/>
        <v>201808</v>
      </c>
      <c r="S48" s="1">
        <f t="shared" ca="1" si="7"/>
        <v>1.0406863648338487</v>
      </c>
    </row>
    <row r="49" spans="1:19" x14ac:dyDescent="0.25">
      <c r="A49">
        <v>2018</v>
      </c>
      <c r="B49">
        <v>9</v>
      </c>
      <c r="D49" s="329">
        <v>10</v>
      </c>
      <c r="E49" s="330">
        <v>13.554502369668249</v>
      </c>
      <c r="F49" s="330">
        <v>13.554502369668249</v>
      </c>
      <c r="H49" t="str">
        <f t="shared" si="8"/>
        <v>Ortdata!AD60</v>
      </c>
      <c r="I49">
        <f t="shared" ca="1" si="0"/>
        <v>12.055999999999999</v>
      </c>
      <c r="J49" t="str">
        <f t="shared" si="13"/>
        <v>Ortdata!AB10</v>
      </c>
      <c r="K49">
        <f t="shared" ca="1" si="11"/>
        <v>11.108000000000001</v>
      </c>
      <c r="L49">
        <f t="shared" si="3"/>
        <v>9</v>
      </c>
      <c r="M49" s="4">
        <f t="shared" ca="1" si="4"/>
        <v>1.1917475728155336</v>
      </c>
      <c r="N49" s="4">
        <f t="shared" ca="1" si="5"/>
        <v>5.8919999999999995</v>
      </c>
      <c r="O49" s="4">
        <f t="shared" ca="1" si="9"/>
        <v>1.0406863648338487</v>
      </c>
      <c r="P49">
        <f ca="1">P48</f>
        <v>1.0406863648338487</v>
      </c>
      <c r="R49" s="2" t="str">
        <f t="shared" si="6"/>
        <v>201809</v>
      </c>
      <c r="S49" s="1">
        <f t="shared" ca="1" si="7"/>
        <v>1.0406863648338487</v>
      </c>
    </row>
    <row r="50" spans="1:19" x14ac:dyDescent="0.25">
      <c r="A50">
        <v>2018</v>
      </c>
      <c r="B50">
        <v>10</v>
      </c>
      <c r="D50" s="329">
        <v>10</v>
      </c>
      <c r="E50" s="330">
        <v>9.3696366140480976</v>
      </c>
      <c r="F50" s="330">
        <v>9.3696366140480976</v>
      </c>
      <c r="H50" t="str">
        <f t="shared" si="8"/>
        <v>Ortdata!AD61</v>
      </c>
      <c r="I50">
        <f t="shared" ca="1" si="0"/>
        <v>7.2469999999999999</v>
      </c>
      <c r="J50" t="str">
        <f t="shared" si="13"/>
        <v>Ortdata!AB11</v>
      </c>
      <c r="K50">
        <f t="shared" ca="1" si="11"/>
        <v>4.6559999999999997</v>
      </c>
      <c r="L50">
        <f t="shared" si="3"/>
        <v>10</v>
      </c>
      <c r="M50" s="4">
        <f t="shared" ca="1" si="4"/>
        <v>1.2656618476366248</v>
      </c>
      <c r="N50" s="4">
        <f t="shared" ca="1" si="5"/>
        <v>12.344000000000001</v>
      </c>
      <c r="O50" s="4">
        <f t="shared" ca="1" si="9"/>
        <v>1.2656618476366248</v>
      </c>
      <c r="P50">
        <v>0</v>
      </c>
      <c r="R50" s="2" t="str">
        <f t="shared" si="6"/>
        <v>201810</v>
      </c>
      <c r="S50" s="1">
        <f t="shared" ca="1" si="7"/>
        <v>1.2656618476366248</v>
      </c>
    </row>
    <row r="51" spans="1:19" x14ac:dyDescent="0.25">
      <c r="A51">
        <v>2018</v>
      </c>
      <c r="B51">
        <v>11</v>
      </c>
      <c r="D51" s="329">
        <v>10</v>
      </c>
      <c r="E51" s="330">
        <v>10.410300162879082</v>
      </c>
      <c r="F51" s="330">
        <v>10.410300162879082</v>
      </c>
      <c r="H51" t="str">
        <f t="shared" si="8"/>
        <v>Ortdata!AD62</v>
      </c>
      <c r="I51">
        <f t="shared" ca="1" si="0"/>
        <v>3.37</v>
      </c>
      <c r="J51" t="str">
        <f t="shared" si="13"/>
        <v>Ortdata!AB12</v>
      </c>
      <c r="K51">
        <f t="shared" ca="1" si="11"/>
        <v>2.452</v>
      </c>
      <c r="L51">
        <f t="shared" si="3"/>
        <v>11</v>
      </c>
      <c r="M51" s="4">
        <f t="shared" ca="1" si="4"/>
        <v>1.067351430667645</v>
      </c>
      <c r="N51" s="4">
        <f t="shared" ca="1" si="5"/>
        <v>14.548</v>
      </c>
      <c r="O51" s="4">
        <f t="shared" ca="1" si="9"/>
        <v>1.067351430667645</v>
      </c>
      <c r="P51">
        <v>0</v>
      </c>
      <c r="R51" s="2" t="str">
        <f t="shared" si="6"/>
        <v>201811</v>
      </c>
      <c r="S51" s="1">
        <f t="shared" ca="1" si="7"/>
        <v>1.067351430667645</v>
      </c>
    </row>
    <row r="52" spans="1:19" x14ac:dyDescent="0.25">
      <c r="A52">
        <v>2018</v>
      </c>
      <c r="B52">
        <v>12</v>
      </c>
      <c r="D52" s="329">
        <v>10</v>
      </c>
      <c r="E52" s="330">
        <v>11.096653112292774</v>
      </c>
      <c r="F52" s="330">
        <v>11.096653112292774</v>
      </c>
      <c r="H52" t="str">
        <f t="shared" si="8"/>
        <v>Ortdata!AD63</v>
      </c>
      <c r="I52">
        <f t="shared" ca="1" si="0"/>
        <v>-0.124</v>
      </c>
      <c r="J52" t="str">
        <f t="shared" si="13"/>
        <v>Ortdata!AB13</v>
      </c>
      <c r="K52">
        <f t="shared" ca="1" si="11"/>
        <v>0.37</v>
      </c>
      <c r="L52">
        <f t="shared" si="3"/>
        <v>12</v>
      </c>
      <c r="M52" s="4">
        <f t="shared" ca="1" si="4"/>
        <v>0.97115160009343615</v>
      </c>
      <c r="N52" s="4">
        <f t="shared" ca="1" si="5"/>
        <v>16.63</v>
      </c>
      <c r="O52" s="4">
        <f t="shared" ca="1" si="9"/>
        <v>0.97115160009343615</v>
      </c>
      <c r="P52">
        <v>0</v>
      </c>
      <c r="R52" s="2" t="str">
        <f t="shared" si="6"/>
        <v>201812</v>
      </c>
      <c r="S52" s="1">
        <f t="shared" ca="1" si="7"/>
        <v>0.97115160009343615</v>
      </c>
    </row>
    <row r="53" spans="1:19" x14ac:dyDescent="0.25">
      <c r="A53">
        <v>2019</v>
      </c>
      <c r="B53">
        <v>1</v>
      </c>
      <c r="D53" s="329">
        <v>10</v>
      </c>
      <c r="E53" s="330">
        <v>9.474530831099198</v>
      </c>
      <c r="F53" s="330">
        <v>9.474530831099198</v>
      </c>
      <c r="H53" t="str">
        <f t="shared" si="8"/>
        <v>Ortdata!AD64</v>
      </c>
      <c r="I53">
        <f t="shared" ca="1" si="0"/>
        <v>-2.7959999999999998</v>
      </c>
      <c r="J53" t="str">
        <f>"Ortdata!"&amp;ADDRESS(ROW(G54)-52,$G$1,4)</f>
        <v>Ortdata!AB2</v>
      </c>
      <c r="K53">
        <f t="shared" ca="1" si="11"/>
        <v>-2.9620000000000002</v>
      </c>
      <c r="L53">
        <f t="shared" si="3"/>
        <v>1</v>
      </c>
      <c r="M53" s="4">
        <f t="shared" ca="1" si="4"/>
        <v>1.0083855324307942</v>
      </c>
      <c r="N53" s="4">
        <f t="shared" ca="1" si="5"/>
        <v>19.962</v>
      </c>
      <c r="O53" s="4">
        <f t="shared" ca="1" si="9"/>
        <v>1.0083855324307942</v>
      </c>
      <c r="P53">
        <v>0</v>
      </c>
      <c r="R53" s="2" t="str">
        <f t="shared" si="6"/>
        <v>201901</v>
      </c>
      <c r="S53" s="1">
        <f t="shared" ca="1" si="7"/>
        <v>1.0083855324307942</v>
      </c>
    </row>
    <row r="54" spans="1:19" x14ac:dyDescent="0.25">
      <c r="A54">
        <v>2019</v>
      </c>
      <c r="B54">
        <v>2</v>
      </c>
      <c r="D54" s="329">
        <v>10</v>
      </c>
      <c r="E54" s="330">
        <v>9.9913344887348359</v>
      </c>
      <c r="F54" s="330">
        <v>9.9913344887348359</v>
      </c>
      <c r="H54" t="str">
        <f t="shared" si="8"/>
        <v>Ortdata!AD65</v>
      </c>
      <c r="I54">
        <f t="shared" ca="1" si="0"/>
        <v>1.5289999999999999</v>
      </c>
      <c r="J54" t="str">
        <f t="shared" ref="J54:J64" si="14">"Ortdata!"&amp;ADDRESS(ROW(G55)-52,$G$1,4)</f>
        <v>Ortdata!AB3</v>
      </c>
      <c r="K54">
        <f t="shared" ca="1" si="11"/>
        <v>-2.0379999999999998</v>
      </c>
      <c r="L54">
        <f t="shared" si="3"/>
        <v>2</v>
      </c>
      <c r="M54" s="4">
        <f t="shared" ca="1" si="4"/>
        <v>1.2305604033352724</v>
      </c>
      <c r="N54" s="4">
        <f t="shared" ca="1" si="5"/>
        <v>19.038</v>
      </c>
      <c r="O54" s="4">
        <f t="shared" ca="1" si="9"/>
        <v>1.2305604033352724</v>
      </c>
      <c r="P54">
        <v>0</v>
      </c>
      <c r="R54" s="2" t="str">
        <f t="shared" si="6"/>
        <v>201902</v>
      </c>
      <c r="S54" s="1">
        <f t="shared" ca="1" si="7"/>
        <v>1.2305604033352724</v>
      </c>
    </row>
    <row r="55" spans="1:19" x14ac:dyDescent="0.25">
      <c r="A55">
        <v>2019</v>
      </c>
      <c r="B55">
        <v>3</v>
      </c>
      <c r="D55" s="329">
        <v>10</v>
      </c>
      <c r="E55" s="330">
        <v>12.581213445141286</v>
      </c>
      <c r="F55" s="330">
        <v>12.581213445141286</v>
      </c>
      <c r="H55" t="str">
        <f t="shared" si="8"/>
        <v>Ortdata!AD66</v>
      </c>
      <c r="I55">
        <f t="shared" ca="1" si="0"/>
        <v>2.3980000000000001</v>
      </c>
      <c r="J55" t="str">
        <f t="shared" si="14"/>
        <v>Ortdata!AB4</v>
      </c>
      <c r="K55">
        <f t="shared" ca="1" si="11"/>
        <v>0.45200000000000001</v>
      </c>
      <c r="L55">
        <f t="shared" si="3"/>
        <v>3</v>
      </c>
      <c r="M55" s="4">
        <f t="shared" ca="1" si="4"/>
        <v>1.1332694151486096</v>
      </c>
      <c r="N55" s="4">
        <f t="shared" ca="1" si="5"/>
        <v>16.547999999999998</v>
      </c>
      <c r="O55" s="4">
        <f t="shared" ca="1" si="9"/>
        <v>1.1332694151486096</v>
      </c>
      <c r="P55">
        <v>0</v>
      </c>
      <c r="R55" s="2" t="str">
        <f t="shared" si="6"/>
        <v>201903</v>
      </c>
      <c r="S55" s="1">
        <f t="shared" ca="1" si="7"/>
        <v>1.1332694151486096</v>
      </c>
    </row>
    <row r="56" spans="1:19" x14ac:dyDescent="0.25">
      <c r="A56">
        <v>2019</v>
      </c>
      <c r="B56">
        <v>4</v>
      </c>
      <c r="D56" s="329">
        <v>10</v>
      </c>
      <c r="E56" s="330">
        <v>10.354146427625189</v>
      </c>
      <c r="F56" s="330">
        <v>10.354146427625189</v>
      </c>
      <c r="H56" t="str">
        <f t="shared" si="8"/>
        <v>Ortdata!AD67</v>
      </c>
      <c r="I56">
        <f t="shared" ca="1" si="0"/>
        <v>7.032</v>
      </c>
      <c r="J56" t="str">
        <f t="shared" si="14"/>
        <v>Ortdata!AB5</v>
      </c>
      <c r="K56">
        <f t="shared" ca="1" si="11"/>
        <v>4.8689999999999998</v>
      </c>
      <c r="L56">
        <f t="shared" si="3"/>
        <v>4</v>
      </c>
      <c r="M56" s="4">
        <f t="shared" ca="1" si="4"/>
        <v>1.216994382022472</v>
      </c>
      <c r="N56" s="4">
        <f t="shared" ca="1" si="5"/>
        <v>12.131</v>
      </c>
      <c r="O56" s="4">
        <f t="shared" ca="1" si="9"/>
        <v>1.216994382022472</v>
      </c>
      <c r="P56">
        <v>0</v>
      </c>
      <c r="R56" s="2" t="str">
        <f t="shared" si="6"/>
        <v>201904</v>
      </c>
      <c r="S56" s="1">
        <f t="shared" ca="1" si="7"/>
        <v>1.216994382022472</v>
      </c>
    </row>
    <row r="57" spans="1:19" x14ac:dyDescent="0.25">
      <c r="A57">
        <v>2019</v>
      </c>
      <c r="B57">
        <v>5</v>
      </c>
      <c r="D57" s="329">
        <v>10</v>
      </c>
      <c r="E57" s="330">
        <v>9.8377145922746791</v>
      </c>
      <c r="F57" s="330">
        <v>9.8377145922746791</v>
      </c>
      <c r="H57" t="str">
        <f t="shared" si="8"/>
        <v>Ortdata!AD68</v>
      </c>
      <c r="I57">
        <f t="shared" ca="1" si="0"/>
        <v>9.5830000000000002</v>
      </c>
      <c r="J57" t="str">
        <f t="shared" si="14"/>
        <v>Ortdata!AB6</v>
      </c>
      <c r="K57">
        <f t="shared" ca="1" si="11"/>
        <v>11.42</v>
      </c>
      <c r="L57">
        <f t="shared" si="3"/>
        <v>5</v>
      </c>
      <c r="M57" s="4">
        <f t="shared" ca="1" si="4"/>
        <v>0.75232573816907111</v>
      </c>
      <c r="N57" s="4">
        <f t="shared" ca="1" si="5"/>
        <v>5.58</v>
      </c>
      <c r="O57" s="4">
        <f t="shared" ca="1" si="9"/>
        <v>1.1051424188202534</v>
      </c>
      <c r="P57">
        <f ca="1">(SUM(M53:M56)+SUM(M62:M64))/7</f>
        <v>1.1051424188202534</v>
      </c>
      <c r="R57" s="2" t="str">
        <f t="shared" si="6"/>
        <v>201905</v>
      </c>
      <c r="S57" s="1">
        <f t="shared" ca="1" si="7"/>
        <v>1.1051424188202534</v>
      </c>
    </row>
    <row r="58" spans="1:19" x14ac:dyDescent="0.25">
      <c r="A58">
        <v>2019</v>
      </c>
      <c r="B58">
        <v>6</v>
      </c>
      <c r="D58" s="329">
        <v>10</v>
      </c>
      <c r="E58" s="330">
        <v>52.727272727272741</v>
      </c>
      <c r="F58" s="330">
        <v>10</v>
      </c>
      <c r="H58" t="str">
        <f t="shared" si="8"/>
        <v>Ortdata!AD69</v>
      </c>
      <c r="I58">
        <f t="shared" ca="1" si="0"/>
        <v>15.446</v>
      </c>
      <c r="J58" t="str">
        <f t="shared" si="14"/>
        <v>Ortdata!AB7</v>
      </c>
      <c r="K58">
        <f t="shared" ca="1" si="11"/>
        <v>13.177</v>
      </c>
      <c r="L58">
        <f t="shared" si="3"/>
        <v>6</v>
      </c>
      <c r="M58" s="4">
        <f t="shared" ca="1" si="4"/>
        <v>2.4601029601029598</v>
      </c>
      <c r="N58" s="4">
        <f t="shared" ca="1" si="5"/>
        <v>3.8230000000000004</v>
      </c>
      <c r="O58" s="4">
        <f t="shared" ca="1" si="9"/>
        <v>1.1051424188202534</v>
      </c>
      <c r="P58">
        <f ca="1">P57</f>
        <v>1.1051424188202534</v>
      </c>
      <c r="R58" s="2" t="str">
        <f t="shared" si="6"/>
        <v>201906</v>
      </c>
      <c r="S58" s="1">
        <f t="shared" ca="1" si="7"/>
        <v>1.1051424188202534</v>
      </c>
    </row>
    <row r="59" spans="1:19" x14ac:dyDescent="0.25">
      <c r="A59">
        <v>2019</v>
      </c>
      <c r="B59">
        <v>7</v>
      </c>
      <c r="D59" s="329">
        <v>10</v>
      </c>
      <c r="E59" s="330">
        <v>-36.311688311688158</v>
      </c>
      <c r="F59" s="330">
        <v>10</v>
      </c>
      <c r="H59" t="str">
        <f t="shared" si="8"/>
        <v>Ortdata!AD70</v>
      </c>
      <c r="I59">
        <f t="shared" ca="1" si="0"/>
        <v>17.015000000000001</v>
      </c>
      <c r="J59" t="str">
        <f t="shared" si="14"/>
        <v>Ortdata!AB8</v>
      </c>
      <c r="K59">
        <f t="shared" ca="1" si="11"/>
        <v>16.495000000000001</v>
      </c>
      <c r="L59">
        <f t="shared" si="3"/>
        <v>7</v>
      </c>
      <c r="M59" s="4">
        <f t="shared" ca="1" si="4"/>
        <v>-33.666666666665321</v>
      </c>
      <c r="N59" s="4">
        <f t="shared" ca="1" si="5"/>
        <v>0.50499999999999901</v>
      </c>
      <c r="O59" s="4">
        <f t="shared" ca="1" si="9"/>
        <v>1.1051424188202534</v>
      </c>
      <c r="P59">
        <f ca="1">P58</f>
        <v>1.1051424188202534</v>
      </c>
      <c r="R59" s="2" t="str">
        <f t="shared" si="6"/>
        <v>201907</v>
      </c>
      <c r="S59" s="1">
        <f t="shared" ca="1" si="7"/>
        <v>1.1051424188202534</v>
      </c>
    </row>
    <row r="60" spans="1:19" x14ac:dyDescent="0.25">
      <c r="A60">
        <v>2019</v>
      </c>
      <c r="B60">
        <v>8</v>
      </c>
      <c r="D60" s="329">
        <v>10</v>
      </c>
      <c r="E60" s="330">
        <v>-20.538641686182665</v>
      </c>
      <c r="F60" s="330">
        <v>10</v>
      </c>
      <c r="H60" t="str">
        <f t="shared" si="8"/>
        <v>Ortdata!AD71</v>
      </c>
      <c r="I60">
        <f t="shared" ca="1" si="0"/>
        <v>16.062999999999999</v>
      </c>
      <c r="J60" t="str">
        <f t="shared" si="14"/>
        <v>Ortdata!AB9</v>
      </c>
      <c r="K60">
        <f t="shared" ca="1" si="11"/>
        <v>14.679</v>
      </c>
      <c r="L60">
        <f t="shared" si="3"/>
        <v>8</v>
      </c>
      <c r="M60" s="4">
        <f t="shared" ca="1" si="4"/>
        <v>2.4770544290288119</v>
      </c>
      <c r="N60" s="4">
        <f t="shared" ca="1" si="5"/>
        <v>2.3209999999999997</v>
      </c>
      <c r="O60" s="4">
        <f t="shared" ca="1" si="9"/>
        <v>1.1051424188202534</v>
      </c>
      <c r="P60">
        <f ca="1">P59</f>
        <v>1.1051424188202534</v>
      </c>
      <c r="R60" s="2" t="str">
        <f t="shared" si="6"/>
        <v>201908</v>
      </c>
      <c r="S60" s="1">
        <f t="shared" ca="1" si="7"/>
        <v>1.1051424188202534</v>
      </c>
    </row>
    <row r="61" spans="1:19" x14ac:dyDescent="0.25">
      <c r="A61">
        <v>2019</v>
      </c>
      <c r="B61">
        <v>9</v>
      </c>
      <c r="D61" s="329">
        <v>10</v>
      </c>
      <c r="E61" s="330">
        <v>10.131277349447803</v>
      </c>
      <c r="F61" s="330">
        <v>10.131277349447803</v>
      </c>
      <c r="H61" t="str">
        <f t="shared" si="8"/>
        <v>Ortdata!AD72</v>
      </c>
      <c r="I61">
        <f t="shared" ca="1" si="0"/>
        <v>11.228999999999999</v>
      </c>
      <c r="J61" t="str">
        <f t="shared" si="14"/>
        <v>Ortdata!AB10</v>
      </c>
      <c r="K61">
        <f t="shared" ca="1" si="11"/>
        <v>11.108000000000001</v>
      </c>
      <c r="L61">
        <f t="shared" si="3"/>
        <v>9</v>
      </c>
      <c r="M61" s="4">
        <f t="shared" ca="1" si="4"/>
        <v>1.0209669034829316</v>
      </c>
      <c r="N61" s="4">
        <f t="shared" ca="1" si="5"/>
        <v>5.8919999999999995</v>
      </c>
      <c r="O61" s="4">
        <f t="shared" ca="1" si="9"/>
        <v>1.1051424188202534</v>
      </c>
      <c r="P61">
        <f ca="1">P60</f>
        <v>1.1051424188202534</v>
      </c>
      <c r="R61" s="2" t="str">
        <f t="shared" si="6"/>
        <v>201909</v>
      </c>
      <c r="S61" s="1">
        <f t="shared" ca="1" si="7"/>
        <v>1.1051424188202534</v>
      </c>
    </row>
    <row r="62" spans="1:19" x14ac:dyDescent="0.25">
      <c r="A62">
        <v>2019</v>
      </c>
      <c r="B62">
        <v>10</v>
      </c>
      <c r="D62" s="329">
        <v>10</v>
      </c>
      <c r="E62" s="330">
        <v>9.1015745600493982</v>
      </c>
      <c r="F62" s="330">
        <v>9.1015745600493982</v>
      </c>
      <c r="H62" t="str">
        <f t="shared" si="8"/>
        <v>Ortdata!AD73</v>
      </c>
      <c r="I62">
        <f t="shared" ca="1" si="0"/>
        <v>5.6189999999999998</v>
      </c>
      <c r="J62" t="str">
        <f t="shared" si="14"/>
        <v>Ortdata!AB11</v>
      </c>
      <c r="K62">
        <f t="shared" ca="1" si="11"/>
        <v>4.6559999999999997</v>
      </c>
      <c r="L62">
        <f t="shared" si="3"/>
        <v>10</v>
      </c>
      <c r="M62" s="4">
        <f t="shared" ca="1" si="4"/>
        <v>1.0846147087250682</v>
      </c>
      <c r="N62" s="4">
        <f t="shared" ca="1" si="5"/>
        <v>12.344000000000001</v>
      </c>
      <c r="O62" s="4">
        <f t="shared" ca="1" si="9"/>
        <v>1.0846147087250682</v>
      </c>
      <c r="P62">
        <v>0</v>
      </c>
      <c r="R62" s="2" t="str">
        <f t="shared" si="6"/>
        <v>201910</v>
      </c>
      <c r="S62" s="1">
        <f t="shared" ca="1" si="7"/>
        <v>1.0846147087250682</v>
      </c>
    </row>
    <row r="63" spans="1:19" x14ac:dyDescent="0.25">
      <c r="A63">
        <v>2019</v>
      </c>
      <c r="B63">
        <v>11</v>
      </c>
      <c r="D63" s="329">
        <v>10</v>
      </c>
      <c r="E63" s="330">
        <v>10.591020279334018</v>
      </c>
      <c r="F63" s="330">
        <v>10.591020279334018</v>
      </c>
      <c r="H63" t="str">
        <f t="shared" si="8"/>
        <v>Ortdata!AD74</v>
      </c>
      <c r="I63">
        <f t="shared" ca="1" si="0"/>
        <v>1.835</v>
      </c>
      <c r="J63" t="str">
        <f t="shared" si="14"/>
        <v>Ortdata!AB12</v>
      </c>
      <c r="K63">
        <f t="shared" ca="1" si="11"/>
        <v>2.452</v>
      </c>
      <c r="L63">
        <f t="shared" si="3"/>
        <v>11</v>
      </c>
      <c r="M63" s="4">
        <f t="shared" ca="1" si="4"/>
        <v>0.95931421035278608</v>
      </c>
      <c r="N63" s="4">
        <f t="shared" ca="1" si="5"/>
        <v>14.548</v>
      </c>
      <c r="O63" s="4">
        <f t="shared" ca="1" si="9"/>
        <v>0.95931421035278608</v>
      </c>
      <c r="P63">
        <v>0</v>
      </c>
      <c r="R63" s="2" t="str">
        <f t="shared" si="6"/>
        <v>201911</v>
      </c>
      <c r="S63" s="1">
        <f t="shared" ca="1" si="7"/>
        <v>0.95931421035278608</v>
      </c>
    </row>
    <row r="64" spans="1:19" x14ac:dyDescent="0.25">
      <c r="A64">
        <v>2019</v>
      </c>
      <c r="B64">
        <v>12</v>
      </c>
      <c r="D64" s="329">
        <v>10</v>
      </c>
      <c r="E64" s="330">
        <v>12.690849252343135</v>
      </c>
      <c r="F64" s="330">
        <v>12.690849252343135</v>
      </c>
      <c r="H64" t="str">
        <f t="shared" si="8"/>
        <v>Ortdata!AD75</v>
      </c>
      <c r="I64">
        <f t="shared" ca="1" si="0"/>
        <v>1.921</v>
      </c>
      <c r="J64" t="str">
        <f t="shared" si="14"/>
        <v>Ortdata!AB13</v>
      </c>
      <c r="K64">
        <f t="shared" ca="1" si="11"/>
        <v>0.37</v>
      </c>
      <c r="L64">
        <f t="shared" si="3"/>
        <v>12</v>
      </c>
      <c r="M64" s="4">
        <f t="shared" ca="1" si="4"/>
        <v>1.1028582797267723</v>
      </c>
      <c r="N64" s="4">
        <f t="shared" ca="1" si="5"/>
        <v>16.63</v>
      </c>
      <c r="O64" s="4">
        <f t="shared" ca="1" si="9"/>
        <v>1.1028582797267723</v>
      </c>
      <c r="P64">
        <v>0</v>
      </c>
      <c r="R64" s="2" t="str">
        <f t="shared" si="6"/>
        <v>201912</v>
      </c>
      <c r="S64" s="1">
        <f t="shared" ca="1" si="7"/>
        <v>1.1028582797267723</v>
      </c>
    </row>
    <row r="65" spans="1:19" x14ac:dyDescent="0.25">
      <c r="A65">
        <v>2020</v>
      </c>
      <c r="B65">
        <v>1</v>
      </c>
      <c r="D65" s="329">
        <v>10</v>
      </c>
      <c r="E65" s="330">
        <v>13.73387222135862</v>
      </c>
      <c r="F65" s="330">
        <v>13.73387222135862</v>
      </c>
      <c r="H65" t="str">
        <f t="shared" si="8"/>
        <v>Ortdata!AD76</v>
      </c>
      <c r="I65">
        <f t="shared" ca="1" si="0"/>
        <v>3.7679999999999998</v>
      </c>
      <c r="J65" t="str">
        <f>"Ortdata!"&amp;ADDRESS(ROW(G66)-64,$G$1,4)</f>
        <v>Ortdata!AB2</v>
      </c>
      <c r="K65">
        <f t="shared" ca="1" si="11"/>
        <v>-2.9620000000000002</v>
      </c>
      <c r="L65">
        <f t="shared" si="3"/>
        <v>1</v>
      </c>
      <c r="M65" s="4">
        <f t="shared" ca="1" si="4"/>
        <v>1.508615477629988</v>
      </c>
      <c r="N65" s="4">
        <f t="shared" ca="1" si="5"/>
        <v>19.962</v>
      </c>
      <c r="O65" s="4">
        <f t="shared" ca="1" si="9"/>
        <v>1.508615477629988</v>
      </c>
      <c r="P65">
        <v>0</v>
      </c>
      <c r="R65" s="2" t="str">
        <f t="shared" si="6"/>
        <v>202001</v>
      </c>
      <c r="S65" s="1">
        <f t="shared" ca="1" si="7"/>
        <v>1.508615477629988</v>
      </c>
    </row>
    <row r="66" spans="1:19" x14ac:dyDescent="0.25">
      <c r="A66">
        <v>2020</v>
      </c>
      <c r="B66">
        <v>2</v>
      </c>
      <c r="D66" s="329">
        <v>10</v>
      </c>
      <c r="E66" s="330">
        <v>10.480352398265978</v>
      </c>
      <c r="F66" s="330">
        <v>10.480352398265978</v>
      </c>
      <c r="H66" t="str">
        <f t="shared" si="8"/>
        <v>Ortdata!AD77</v>
      </c>
      <c r="I66">
        <f t="shared" ca="1" si="0"/>
        <v>1.9330000000000001</v>
      </c>
      <c r="J66" t="str">
        <f t="shared" ref="J66:J75" si="15">"Ortdata!"&amp;ADDRESS(ROW(G67)-64,$G$1,4)</f>
        <v>Ortdata!AB3</v>
      </c>
      <c r="K66">
        <f t="shared" ca="1" si="11"/>
        <v>-2.0379999999999998</v>
      </c>
      <c r="L66">
        <f t="shared" si="3"/>
        <v>2</v>
      </c>
      <c r="M66" s="4">
        <f t="shared" ca="1" si="4"/>
        <v>1.2635561160151325</v>
      </c>
      <c r="N66" s="4">
        <f t="shared" ca="1" si="5"/>
        <v>19.038</v>
      </c>
      <c r="O66" s="4">
        <f t="shared" ca="1" si="9"/>
        <v>1.2635561160151325</v>
      </c>
      <c r="P66">
        <v>0</v>
      </c>
      <c r="R66" s="2" t="str">
        <f t="shared" si="6"/>
        <v>202002</v>
      </c>
      <c r="S66" s="1">
        <f t="shared" ca="1" si="7"/>
        <v>1.2635561160151325</v>
      </c>
    </row>
    <row r="67" spans="1:19" x14ac:dyDescent="0.25">
      <c r="A67">
        <v>2020</v>
      </c>
      <c r="B67">
        <v>3</v>
      </c>
      <c r="D67" s="329">
        <v>10</v>
      </c>
      <c r="E67" s="330">
        <v>12.867747747747746</v>
      </c>
      <c r="F67" s="330">
        <v>12.867747747747746</v>
      </c>
      <c r="H67" t="str">
        <f t="shared" si="8"/>
        <v>Ortdata!AD78</v>
      </c>
      <c r="I67">
        <f t="shared" ca="1" si="0"/>
        <v>2.323</v>
      </c>
      <c r="J67" t="str">
        <f t="shared" si="15"/>
        <v>Ortdata!AB4</v>
      </c>
      <c r="K67">
        <f t="shared" ca="1" si="11"/>
        <v>0.45200000000000001</v>
      </c>
      <c r="L67">
        <f t="shared" si="3"/>
        <v>3</v>
      </c>
      <c r="M67" s="4">
        <f t="shared" ca="1" si="4"/>
        <v>1.1274783675137969</v>
      </c>
      <c r="N67" s="4">
        <f t="shared" ca="1" si="5"/>
        <v>16.547999999999998</v>
      </c>
      <c r="O67" s="4">
        <f t="shared" ca="1" si="9"/>
        <v>1.1274783675137969</v>
      </c>
      <c r="P67">
        <v>0</v>
      </c>
      <c r="R67" s="2" t="str">
        <f t="shared" si="6"/>
        <v>202003</v>
      </c>
      <c r="S67" s="1">
        <f t="shared" ca="1" si="7"/>
        <v>1.1274783675137969</v>
      </c>
    </row>
    <row r="68" spans="1:19" x14ac:dyDescent="0.25">
      <c r="A68">
        <v>2020</v>
      </c>
      <c r="B68">
        <v>4</v>
      </c>
      <c r="D68" s="329">
        <v>10</v>
      </c>
      <c r="E68" s="330">
        <v>11.216991963260622</v>
      </c>
      <c r="F68" s="330">
        <v>11.216991963260622</v>
      </c>
      <c r="H68" t="str">
        <f t="shared" si="8"/>
        <v>Ortdata!AD79</v>
      </c>
      <c r="I68">
        <f t="shared" ca="1" si="0"/>
        <v>6.0490000000000004</v>
      </c>
      <c r="J68" t="str">
        <f t="shared" si="15"/>
        <v>Ortdata!AB5</v>
      </c>
      <c r="K68">
        <f t="shared" ca="1" si="11"/>
        <v>4.8689999999999998</v>
      </c>
      <c r="L68">
        <f t="shared" si="3"/>
        <v>4</v>
      </c>
      <c r="M68" s="4">
        <f t="shared" ca="1" si="4"/>
        <v>1.1077527166468815</v>
      </c>
      <c r="N68" s="4">
        <f t="shared" ca="1" si="5"/>
        <v>12.131</v>
      </c>
      <c r="O68" s="4">
        <f t="shared" ca="1" si="9"/>
        <v>1.1077527166468815</v>
      </c>
      <c r="P68">
        <v>0</v>
      </c>
      <c r="R68" s="2" t="str">
        <f t="shared" si="6"/>
        <v>202004</v>
      </c>
      <c r="S68" s="1">
        <f t="shared" ca="1" si="7"/>
        <v>1.1077527166468815</v>
      </c>
    </row>
    <row r="69" spans="1:19" x14ac:dyDescent="0.25">
      <c r="A69">
        <v>2020</v>
      </c>
      <c r="B69">
        <v>5</v>
      </c>
      <c r="D69" s="329">
        <v>10</v>
      </c>
      <c r="E69" s="330">
        <v>9.4401544401544406</v>
      </c>
      <c r="F69" s="330">
        <v>9.4401544401544406</v>
      </c>
      <c r="H69" t="str">
        <f t="shared" si="8"/>
        <v>Ortdata!AD80</v>
      </c>
      <c r="I69">
        <f t="shared" ca="1" si="0"/>
        <v>9.2620000000000005</v>
      </c>
      <c r="J69" t="str">
        <f t="shared" si="15"/>
        <v>Ortdata!AB6</v>
      </c>
      <c r="K69">
        <f t="shared" ca="1" si="11"/>
        <v>11.42</v>
      </c>
      <c r="L69">
        <f t="shared" si="3"/>
        <v>5</v>
      </c>
      <c r="M69" s="4">
        <f t="shared" ca="1" si="4"/>
        <v>0.72111656758852427</v>
      </c>
      <c r="N69" s="4">
        <f t="shared" ca="1" si="5"/>
        <v>5.58</v>
      </c>
      <c r="O69" s="4">
        <f t="shared" ca="1" si="9"/>
        <v>1.2579134763715589</v>
      </c>
      <c r="P69">
        <f ca="1">(SUM(M65:M68)+SUM(M74:M76))/7</f>
        <v>1.2579134763715589</v>
      </c>
      <c r="R69" s="2" t="str">
        <f t="shared" si="6"/>
        <v>202005</v>
      </c>
      <c r="S69" s="1">
        <f t="shared" ca="1" si="7"/>
        <v>1.2579134763715589</v>
      </c>
    </row>
    <row r="70" spans="1:19" x14ac:dyDescent="0.25">
      <c r="A70">
        <v>2020</v>
      </c>
      <c r="B70">
        <v>6</v>
      </c>
      <c r="D70" s="329">
        <v>10</v>
      </c>
      <c r="E70" s="330">
        <v>60.621468926553831</v>
      </c>
      <c r="F70" s="330">
        <v>10</v>
      </c>
      <c r="H70" t="str">
        <f t="shared" si="8"/>
        <v>Ortdata!AD81</v>
      </c>
      <c r="I70">
        <f t="shared" ref="I70:I88" ca="1" si="16">INDIRECT(H70)</f>
        <v>17.402000000000001</v>
      </c>
      <c r="J70" t="str">
        <f t="shared" si="15"/>
        <v>Ortdata!AB7</v>
      </c>
      <c r="K70">
        <f t="shared" ca="1" si="11"/>
        <v>13.177</v>
      </c>
      <c r="L70">
        <f t="shared" ref="L70:L88" si="17">B70</f>
        <v>6</v>
      </c>
      <c r="M70" s="4">
        <f t="shared" ref="M70:M88" ca="1" si="18">(17-K70)/(17-I70)</f>
        <v>-9.509950248756196</v>
      </c>
      <c r="N70" s="4">
        <f t="shared" ref="N70:N88" ca="1" si="19">17-K70</f>
        <v>3.8230000000000004</v>
      </c>
      <c r="O70" s="4">
        <f t="shared" ca="1" si="9"/>
        <v>1.2579134763715589</v>
      </c>
      <c r="P70">
        <f ca="1">P69</f>
        <v>1.2579134763715589</v>
      </c>
      <c r="R70" s="2" t="str">
        <f t="shared" ref="R70:R88" si="20">A70 &amp; TEXT(B70,"00")</f>
        <v>202006</v>
      </c>
      <c r="S70" s="1">
        <f t="shared" ref="S70:S88" ca="1" si="21">O70</f>
        <v>1.2579134763715589</v>
      </c>
    </row>
    <row r="71" spans="1:19" x14ac:dyDescent="0.25">
      <c r="A71">
        <v>2020</v>
      </c>
      <c r="B71">
        <v>7</v>
      </c>
      <c r="D71" s="329">
        <v>10</v>
      </c>
      <c r="E71" s="330">
        <v>-11.525144270403961</v>
      </c>
      <c r="F71" s="330">
        <v>10</v>
      </c>
      <c r="H71" t="str">
        <f t="shared" ref="H71:H88" si="22">"Ortdata!"&amp;ADDRESS(ROW(G71)+11,$G$1+2,4)</f>
        <v>Ortdata!AD82</v>
      </c>
      <c r="I71">
        <f t="shared" ca="1" si="16"/>
        <v>14.131</v>
      </c>
      <c r="J71" t="str">
        <f t="shared" si="15"/>
        <v>Ortdata!AB8</v>
      </c>
      <c r="K71">
        <f t="shared" ca="1" si="11"/>
        <v>16.495000000000001</v>
      </c>
      <c r="L71">
        <f t="shared" si="17"/>
        <v>7</v>
      </c>
      <c r="M71" s="4">
        <f t="shared" ca="1" si="18"/>
        <v>0.17601951899616558</v>
      </c>
      <c r="N71" s="4">
        <f t="shared" ca="1" si="19"/>
        <v>0.50499999999999901</v>
      </c>
      <c r="O71" s="4">
        <f t="shared" ref="O71:O88" ca="1" si="23">IF(P71=0,M71,P71)</f>
        <v>1.2579134763715589</v>
      </c>
      <c r="P71">
        <f ca="1">P70</f>
        <v>1.2579134763715589</v>
      </c>
      <c r="R71" s="2" t="str">
        <f t="shared" si="20"/>
        <v>202007</v>
      </c>
      <c r="S71" s="1">
        <f t="shared" ca="1" si="21"/>
        <v>1.2579134763715589</v>
      </c>
    </row>
    <row r="72" spans="1:19" x14ac:dyDescent="0.25">
      <c r="A72">
        <v>2020</v>
      </c>
      <c r="B72">
        <v>8</v>
      </c>
      <c r="D72" s="329">
        <v>10</v>
      </c>
      <c r="E72" s="330">
        <v>-13.987240829346099</v>
      </c>
      <c r="F72" s="330">
        <v>10</v>
      </c>
      <c r="H72" t="str">
        <f t="shared" si="22"/>
        <v>Ortdata!AD83</v>
      </c>
      <c r="I72">
        <f t="shared" ca="1" si="16"/>
        <v>16.364999999999998</v>
      </c>
      <c r="J72" t="str">
        <f t="shared" si="15"/>
        <v>Ortdata!AB9</v>
      </c>
      <c r="K72">
        <f t="shared" ca="1" si="11"/>
        <v>14.679</v>
      </c>
      <c r="L72">
        <f t="shared" si="17"/>
        <v>8</v>
      </c>
      <c r="M72" s="4">
        <f t="shared" ca="1" si="18"/>
        <v>3.6551181102362111</v>
      </c>
      <c r="N72" s="4">
        <f t="shared" ca="1" si="19"/>
        <v>2.3209999999999997</v>
      </c>
      <c r="O72" s="4">
        <f t="shared" ca="1" si="23"/>
        <v>1.2579134763715589</v>
      </c>
      <c r="P72">
        <f ca="1">P71</f>
        <v>1.2579134763715589</v>
      </c>
      <c r="R72" s="2" t="str">
        <f t="shared" si="20"/>
        <v>202008</v>
      </c>
      <c r="S72" s="1">
        <f t="shared" ca="1" si="21"/>
        <v>1.2579134763715589</v>
      </c>
    </row>
    <row r="73" spans="1:19" x14ac:dyDescent="0.25">
      <c r="A73">
        <v>2020</v>
      </c>
      <c r="B73">
        <v>9</v>
      </c>
      <c r="D73" s="329">
        <v>10</v>
      </c>
      <c r="E73" s="330">
        <v>13.691917769642355</v>
      </c>
      <c r="F73" s="330">
        <v>13.691917769642355</v>
      </c>
      <c r="H73" t="str">
        <f t="shared" si="22"/>
        <v>Ortdata!AD84</v>
      </c>
      <c r="I73">
        <f t="shared" ca="1" si="16"/>
        <v>12.193</v>
      </c>
      <c r="J73" t="str">
        <f t="shared" si="15"/>
        <v>Ortdata!AB10</v>
      </c>
      <c r="K73">
        <f t="shared" ca="1" si="11"/>
        <v>11.108000000000001</v>
      </c>
      <c r="L73">
        <f t="shared" si="17"/>
        <v>9</v>
      </c>
      <c r="M73" s="4">
        <f t="shared" ca="1" si="18"/>
        <v>1.2257125026003743</v>
      </c>
      <c r="N73" s="4">
        <f t="shared" ca="1" si="19"/>
        <v>5.8919999999999995</v>
      </c>
      <c r="O73" s="4">
        <f t="shared" ca="1" si="23"/>
        <v>1.2579134763715589</v>
      </c>
      <c r="P73">
        <f ca="1">P72</f>
        <v>1.2579134763715589</v>
      </c>
      <c r="R73" s="2" t="str">
        <f t="shared" si="20"/>
        <v>202009</v>
      </c>
      <c r="S73" s="1">
        <f t="shared" ca="1" si="21"/>
        <v>1.2579134763715589</v>
      </c>
    </row>
    <row r="74" spans="1:19" x14ac:dyDescent="0.25">
      <c r="A74">
        <v>2020</v>
      </c>
      <c r="B74">
        <v>10</v>
      </c>
      <c r="D74" s="329">
        <v>10</v>
      </c>
      <c r="E74" s="330">
        <v>11.695318698756942</v>
      </c>
      <c r="F74" s="330">
        <v>11.695318698756942</v>
      </c>
      <c r="H74" t="str">
        <f t="shared" si="22"/>
        <v>Ortdata!AD85</v>
      </c>
      <c r="I74">
        <f t="shared" ca="1" si="16"/>
        <v>7.6120000000000001</v>
      </c>
      <c r="J74" t="str">
        <f t="shared" si="15"/>
        <v>Ortdata!AB11</v>
      </c>
      <c r="K74">
        <f t="shared" ca="1" si="11"/>
        <v>4.6559999999999997</v>
      </c>
      <c r="L74">
        <f t="shared" si="17"/>
        <v>10</v>
      </c>
      <c r="M74" s="4">
        <f t="shared" ca="1" si="18"/>
        <v>1.3148700468683427</v>
      </c>
      <c r="N74" s="4">
        <f t="shared" ca="1" si="19"/>
        <v>12.344000000000001</v>
      </c>
      <c r="O74" s="4">
        <f t="shared" ca="1" si="23"/>
        <v>1.3148700468683427</v>
      </c>
      <c r="P74">
        <v>0</v>
      </c>
      <c r="R74" s="2" t="str">
        <f t="shared" si="20"/>
        <v>202010</v>
      </c>
      <c r="S74" s="1">
        <f t="shared" ca="1" si="21"/>
        <v>1.3148700468683427</v>
      </c>
    </row>
    <row r="75" spans="1:19" x14ac:dyDescent="0.25">
      <c r="A75">
        <v>2020</v>
      </c>
      <c r="B75">
        <v>11</v>
      </c>
      <c r="D75" s="329">
        <v>10</v>
      </c>
      <c r="E75" s="330">
        <v>13.264156537207235</v>
      </c>
      <c r="F75" s="330">
        <v>13.264156537207235</v>
      </c>
      <c r="H75" t="str">
        <f t="shared" si="22"/>
        <v>Ortdata!AD86</v>
      </c>
      <c r="I75">
        <f t="shared" ca="1" si="16"/>
        <v>5.8630000000000004</v>
      </c>
      <c r="J75" t="str">
        <f t="shared" si="15"/>
        <v>Ortdata!AB12</v>
      </c>
      <c r="K75">
        <f t="shared" ca="1" si="11"/>
        <v>2.452</v>
      </c>
      <c r="L75">
        <f t="shared" si="17"/>
        <v>11</v>
      </c>
      <c r="M75" s="4">
        <f t="shared" ca="1" si="18"/>
        <v>1.3062763760438179</v>
      </c>
      <c r="N75" s="4">
        <f t="shared" ca="1" si="19"/>
        <v>14.548</v>
      </c>
      <c r="O75" s="4">
        <f t="shared" ca="1" si="23"/>
        <v>1.3062763760438179</v>
      </c>
      <c r="P75">
        <v>0</v>
      </c>
      <c r="R75" s="2" t="str">
        <f t="shared" si="20"/>
        <v>202011</v>
      </c>
      <c r="S75" s="1">
        <f t="shared" ca="1" si="21"/>
        <v>1.3062763760438179</v>
      </c>
    </row>
    <row r="76" spans="1:19" x14ac:dyDescent="0.25">
      <c r="A76">
        <v>2020</v>
      </c>
      <c r="B76">
        <v>12</v>
      </c>
      <c r="D76" s="329">
        <v>10</v>
      </c>
      <c r="E76" s="330">
        <v>13.914339504235958</v>
      </c>
      <c r="F76" s="330">
        <v>13.914339504235958</v>
      </c>
      <c r="H76" t="str">
        <f t="shared" si="22"/>
        <v>Ortdata!AD87</v>
      </c>
      <c r="I76">
        <f t="shared" ca="1" si="16"/>
        <v>2.8690000000000002</v>
      </c>
      <c r="J76" t="str">
        <f>"Ortdata!"&amp;ADDRESS(ROW(G77)-64,$G$1,4)</f>
        <v>Ortdata!AB13</v>
      </c>
      <c r="K76">
        <f t="shared" ca="1" si="11"/>
        <v>0.37</v>
      </c>
      <c r="L76">
        <f t="shared" si="17"/>
        <v>12</v>
      </c>
      <c r="M76" s="4">
        <f t="shared" ca="1" si="18"/>
        <v>1.1768452338829523</v>
      </c>
      <c r="N76" s="4">
        <f t="shared" ca="1" si="19"/>
        <v>16.63</v>
      </c>
      <c r="O76" s="4">
        <f t="shared" ca="1" si="23"/>
        <v>1.1768452338829523</v>
      </c>
      <c r="P76">
        <v>0</v>
      </c>
      <c r="R76" s="2" t="str">
        <f t="shared" si="20"/>
        <v>202012</v>
      </c>
      <c r="S76" s="1">
        <f t="shared" ca="1" si="21"/>
        <v>1.1768452338829523</v>
      </c>
    </row>
    <row r="77" spans="1:19" x14ac:dyDescent="0.25">
      <c r="A77">
        <v>2021</v>
      </c>
      <c r="B77">
        <v>1</v>
      </c>
      <c r="D77" s="329">
        <v>10</v>
      </c>
      <c r="E77" s="329"/>
      <c r="F77" s="329"/>
      <c r="H77" t="str">
        <f t="shared" si="22"/>
        <v>Ortdata!AD88</v>
      </c>
      <c r="I77">
        <f t="shared" ca="1" si="16"/>
        <v>-3.6153225806451603</v>
      </c>
      <c r="J77" t="str">
        <f>"Ortdata!"&amp;ADDRESS(ROW(G78)-77,$G$1,4)</f>
        <v>Ortdata!AB1</v>
      </c>
      <c r="K77">
        <f t="shared" ca="1" si="11"/>
        <v>-2.9620000000000002</v>
      </c>
      <c r="L77">
        <f t="shared" si="17"/>
        <v>1</v>
      </c>
      <c r="M77" s="4">
        <f t="shared" ca="1" si="18"/>
        <v>0.96830888393381065</v>
      </c>
      <c r="N77" s="4">
        <f t="shared" ca="1" si="19"/>
        <v>19.962</v>
      </c>
      <c r="O77" s="4">
        <f t="shared" ca="1" si="23"/>
        <v>0.96830888393381065</v>
      </c>
      <c r="P77">
        <v>0</v>
      </c>
      <c r="R77" s="2" t="str">
        <f t="shared" si="20"/>
        <v>202101</v>
      </c>
      <c r="S77" s="1">
        <f t="shared" ca="1" si="21"/>
        <v>0.96830888393381065</v>
      </c>
    </row>
    <row r="78" spans="1:19" x14ac:dyDescent="0.25">
      <c r="A78">
        <v>2021</v>
      </c>
      <c r="B78">
        <v>2</v>
      </c>
      <c r="D78" s="329">
        <v>10</v>
      </c>
      <c r="E78" s="329"/>
      <c r="F78" s="329"/>
      <c r="H78" t="str">
        <f t="shared" si="22"/>
        <v>Ortdata!AD89</v>
      </c>
      <c r="I78">
        <f t="shared" ca="1" si="16"/>
        <v>-3.8238095238095191</v>
      </c>
      <c r="J78" t="str">
        <f t="shared" ref="J78:J88" si="24">"Ortdata!"&amp;ADDRESS(ROW(G79)-77,$G$1,4)</f>
        <v>Ortdata!AB2</v>
      </c>
      <c r="K78">
        <f t="shared" ca="1" si="11"/>
        <v>-2.0379999999999998</v>
      </c>
      <c r="L78">
        <f t="shared" si="17"/>
        <v>2</v>
      </c>
      <c r="M78" s="4">
        <f t="shared" ca="1" si="18"/>
        <v>0.91424193917219321</v>
      </c>
      <c r="N78" s="4">
        <f t="shared" ca="1" si="19"/>
        <v>19.038</v>
      </c>
      <c r="O78" s="4">
        <f t="shared" ca="1" si="23"/>
        <v>0.91424193917219321</v>
      </c>
      <c r="P78">
        <v>0</v>
      </c>
      <c r="R78" s="2" t="str">
        <f t="shared" si="20"/>
        <v>202102</v>
      </c>
      <c r="S78" s="1">
        <f t="shared" ca="1" si="21"/>
        <v>0.91424193917219321</v>
      </c>
    </row>
    <row r="79" spans="1:19" x14ac:dyDescent="0.25">
      <c r="A79">
        <v>2021</v>
      </c>
      <c r="B79">
        <v>3</v>
      </c>
      <c r="D79" s="329">
        <v>10</v>
      </c>
      <c r="E79" s="329"/>
      <c r="F79" s="329"/>
      <c r="H79" t="str">
        <f t="shared" si="22"/>
        <v>Ortdata!AD90</v>
      </c>
      <c r="I79">
        <f t="shared" ca="1" si="16"/>
        <v>2.5013440860215046</v>
      </c>
      <c r="J79" t="str">
        <f t="shared" si="24"/>
        <v>Ortdata!AB3</v>
      </c>
      <c r="K79">
        <f t="shared" ca="1" si="11"/>
        <v>0.45200000000000001</v>
      </c>
      <c r="L79">
        <f t="shared" si="17"/>
        <v>3</v>
      </c>
      <c r="M79" s="4">
        <f t="shared" ca="1" si="18"/>
        <v>1.1413471771576895</v>
      </c>
      <c r="N79" s="4">
        <f t="shared" ca="1" si="19"/>
        <v>16.547999999999998</v>
      </c>
      <c r="O79" s="4">
        <f t="shared" ca="1" si="23"/>
        <v>1.1413471771576895</v>
      </c>
      <c r="P79">
        <v>0</v>
      </c>
      <c r="R79" s="2" t="str">
        <f t="shared" si="20"/>
        <v>202103</v>
      </c>
      <c r="S79" s="1">
        <f t="shared" ca="1" si="21"/>
        <v>1.1413471771576895</v>
      </c>
    </row>
    <row r="80" spans="1:19" x14ac:dyDescent="0.25">
      <c r="A80">
        <v>2021</v>
      </c>
      <c r="B80">
        <v>4</v>
      </c>
      <c r="D80" s="329">
        <v>10</v>
      </c>
      <c r="E80" s="329"/>
      <c r="F80" s="329"/>
      <c r="H80" t="str">
        <f t="shared" si="22"/>
        <v>Ortdata!AD91</v>
      </c>
      <c r="I80">
        <f t="shared" ca="1" si="16"/>
        <v>4.3088888888888883</v>
      </c>
      <c r="J80" t="str">
        <f t="shared" si="24"/>
        <v>Ortdata!AB4</v>
      </c>
      <c r="K80">
        <f t="shared" ca="1" si="11"/>
        <v>4.8689999999999998</v>
      </c>
      <c r="L80">
        <f t="shared" si="17"/>
        <v>4</v>
      </c>
      <c r="M80" s="4">
        <f t="shared" ca="1" si="18"/>
        <v>0.95586587287690417</v>
      </c>
      <c r="N80" s="4">
        <f t="shared" ca="1" si="19"/>
        <v>12.131</v>
      </c>
      <c r="O80" s="4">
        <f t="shared" ca="1" si="23"/>
        <v>0.95586587287690417</v>
      </c>
      <c r="P80">
        <v>0</v>
      </c>
      <c r="R80" s="2" t="str">
        <f t="shared" si="20"/>
        <v>202104</v>
      </c>
      <c r="S80" s="1">
        <f t="shared" ca="1" si="21"/>
        <v>0.95586587287690417</v>
      </c>
    </row>
    <row r="81" spans="1:19" x14ac:dyDescent="0.25">
      <c r="A81">
        <v>2021</v>
      </c>
      <c r="B81">
        <v>5</v>
      </c>
      <c r="D81" s="329">
        <v>10</v>
      </c>
      <c r="E81" s="329"/>
      <c r="F81" s="329"/>
      <c r="H81" t="str">
        <f t="shared" si="22"/>
        <v>Ortdata!AD92</v>
      </c>
      <c r="I81">
        <f t="shared" ca="1" si="16"/>
        <v>9.6696236559139841</v>
      </c>
      <c r="J81" t="str">
        <f t="shared" si="24"/>
        <v>Ortdata!AB5</v>
      </c>
      <c r="K81">
        <f t="shared" ca="1" si="11"/>
        <v>11.42</v>
      </c>
      <c r="L81">
        <f t="shared" si="17"/>
        <v>5</v>
      </c>
      <c r="M81" s="4">
        <f t="shared" ca="1" si="18"/>
        <v>0.76121603285782447</v>
      </c>
      <c r="N81" s="4">
        <f t="shared" ca="1" si="19"/>
        <v>5.58</v>
      </c>
      <c r="O81" s="4">
        <f t="shared" ca="1" si="23"/>
        <v>1.0516043107997004</v>
      </c>
      <c r="P81">
        <f ca="1">(SUM(M77:M80)+SUM(M86:M88))/7</f>
        <v>1.0516043107997004</v>
      </c>
      <c r="R81" s="2" t="str">
        <f t="shared" si="20"/>
        <v>202105</v>
      </c>
      <c r="S81" s="1">
        <f t="shared" ca="1" si="21"/>
        <v>1.0516043107997004</v>
      </c>
    </row>
    <row r="82" spans="1:19" x14ac:dyDescent="0.25">
      <c r="A82">
        <v>2021</v>
      </c>
      <c r="B82">
        <v>6</v>
      </c>
      <c r="D82" s="329">
        <v>10</v>
      </c>
      <c r="E82" s="329"/>
      <c r="F82" s="329"/>
      <c r="H82" t="str">
        <f t="shared" si="22"/>
        <v>Ortdata!AD93</v>
      </c>
      <c r="I82">
        <f t="shared" ca="1" si="16"/>
        <v>16.249583333333337</v>
      </c>
      <c r="J82" t="str">
        <f t="shared" si="24"/>
        <v>Ortdata!AB6</v>
      </c>
      <c r="K82">
        <f t="shared" ref="K82:K87" ca="1" si="25">K70</f>
        <v>13.177</v>
      </c>
      <c r="L82">
        <f t="shared" si="17"/>
        <v>6</v>
      </c>
      <c r="M82" s="4">
        <f t="shared" ca="1" si="18"/>
        <v>5.0945030538589942</v>
      </c>
      <c r="N82" s="4">
        <f t="shared" ca="1" si="19"/>
        <v>3.8230000000000004</v>
      </c>
      <c r="O82" s="4">
        <f t="shared" ca="1" si="23"/>
        <v>1.0516043107997004</v>
      </c>
      <c r="P82">
        <f ca="1">P81</f>
        <v>1.0516043107997004</v>
      </c>
      <c r="R82" s="2" t="str">
        <f t="shared" si="20"/>
        <v>202106</v>
      </c>
      <c r="S82" s="1">
        <f t="shared" ca="1" si="21"/>
        <v>1.0516043107997004</v>
      </c>
    </row>
    <row r="83" spans="1:19" x14ac:dyDescent="0.25">
      <c r="A83">
        <v>2021</v>
      </c>
      <c r="B83">
        <v>7</v>
      </c>
      <c r="D83" s="329">
        <v>10</v>
      </c>
      <c r="E83" s="329"/>
      <c r="F83" s="329"/>
      <c r="H83" t="str">
        <f t="shared" si="22"/>
        <v>Ortdata!AD94</v>
      </c>
      <c r="I83">
        <f t="shared" ca="1" si="16"/>
        <v>18.631720430107528</v>
      </c>
      <c r="J83" t="str">
        <f t="shared" si="24"/>
        <v>Ortdata!AB7</v>
      </c>
      <c r="K83">
        <f t="shared" ca="1" si="25"/>
        <v>16.495000000000001</v>
      </c>
      <c r="L83">
        <f t="shared" si="17"/>
        <v>7</v>
      </c>
      <c r="M83" s="4">
        <f t="shared" ca="1" si="18"/>
        <v>-0.30948929159802224</v>
      </c>
      <c r="N83" s="4">
        <f t="shared" ca="1" si="19"/>
        <v>0.50499999999999901</v>
      </c>
      <c r="O83" s="4">
        <f t="shared" ca="1" si="23"/>
        <v>1.0516043107997004</v>
      </c>
      <c r="P83">
        <f ca="1">P82</f>
        <v>1.0516043107997004</v>
      </c>
      <c r="R83" s="2" t="str">
        <f t="shared" si="20"/>
        <v>202107</v>
      </c>
      <c r="S83" s="1">
        <f t="shared" ca="1" si="21"/>
        <v>1.0516043107997004</v>
      </c>
    </row>
    <row r="84" spans="1:19" x14ac:dyDescent="0.25">
      <c r="A84">
        <v>2021</v>
      </c>
      <c r="B84">
        <v>8</v>
      </c>
      <c r="D84" s="329">
        <v>10</v>
      </c>
      <c r="E84" s="329"/>
      <c r="F84" s="329"/>
      <c r="H84" t="str">
        <f t="shared" si="22"/>
        <v>Ortdata!AD95</v>
      </c>
      <c r="I84">
        <f t="shared" ca="1" si="16"/>
        <v>14.501075268817186</v>
      </c>
      <c r="J84" t="str">
        <f t="shared" si="24"/>
        <v>Ortdata!AB8</v>
      </c>
      <c r="K84">
        <f t="shared" ca="1" si="25"/>
        <v>14.679</v>
      </c>
      <c r="L84">
        <f t="shared" si="17"/>
        <v>8</v>
      </c>
      <c r="M84" s="4">
        <f t="shared" ca="1" si="18"/>
        <v>0.92879948364887421</v>
      </c>
      <c r="N84" s="4">
        <f t="shared" ca="1" si="19"/>
        <v>2.3209999999999997</v>
      </c>
      <c r="O84" s="4">
        <f t="shared" ca="1" si="23"/>
        <v>1.0516043107997004</v>
      </c>
      <c r="P84">
        <f ca="1">P83</f>
        <v>1.0516043107997004</v>
      </c>
      <c r="R84" s="2" t="str">
        <f t="shared" si="20"/>
        <v>202108</v>
      </c>
      <c r="S84" s="1">
        <f t="shared" ca="1" si="21"/>
        <v>1.0516043107997004</v>
      </c>
    </row>
    <row r="85" spans="1:19" x14ac:dyDescent="0.25">
      <c r="A85">
        <v>2021</v>
      </c>
      <c r="B85">
        <v>9</v>
      </c>
      <c r="D85" s="329">
        <v>10</v>
      </c>
      <c r="E85" s="329"/>
      <c r="F85" s="329"/>
      <c r="H85" t="str">
        <f t="shared" si="22"/>
        <v>Ortdata!AD96</v>
      </c>
      <c r="I85">
        <f t="shared" ca="1" si="16"/>
        <v>11.96111111111111</v>
      </c>
      <c r="J85" t="str">
        <f t="shared" si="24"/>
        <v>Ortdata!AB9</v>
      </c>
      <c r="K85">
        <f t="shared" ca="1" si="25"/>
        <v>11.108000000000001</v>
      </c>
      <c r="L85">
        <f t="shared" si="17"/>
        <v>9</v>
      </c>
      <c r="M85" s="4">
        <f t="shared" ca="1" si="18"/>
        <v>1.1693054024255785</v>
      </c>
      <c r="N85" s="4">
        <f t="shared" ca="1" si="19"/>
        <v>5.8919999999999995</v>
      </c>
      <c r="O85" s="4">
        <f t="shared" ca="1" si="23"/>
        <v>1.0516043107997004</v>
      </c>
      <c r="P85">
        <f ca="1">P84</f>
        <v>1.0516043107997004</v>
      </c>
      <c r="R85" s="2" t="str">
        <f t="shared" si="20"/>
        <v>202109</v>
      </c>
      <c r="S85" s="1">
        <f t="shared" ca="1" si="21"/>
        <v>1.0516043107997004</v>
      </c>
    </row>
    <row r="86" spans="1:19" x14ac:dyDescent="0.25">
      <c r="A86">
        <v>2021</v>
      </c>
      <c r="B86">
        <v>10</v>
      </c>
      <c r="D86" s="329">
        <v>10</v>
      </c>
      <c r="E86" s="329"/>
      <c r="F86" s="329"/>
      <c r="H86" t="str">
        <f t="shared" si="22"/>
        <v>Ortdata!AD97</v>
      </c>
      <c r="I86">
        <f t="shared" ca="1" si="16"/>
        <v>8.6469086021505497</v>
      </c>
      <c r="J86" t="str">
        <f t="shared" si="24"/>
        <v>Ortdata!AB10</v>
      </c>
      <c r="K86">
        <f t="shared" ca="1" si="25"/>
        <v>4.6559999999999997</v>
      </c>
      <c r="L86">
        <f t="shared" si="17"/>
        <v>10</v>
      </c>
      <c r="M86" s="4">
        <f t="shared" ca="1" si="18"/>
        <v>1.4777762402046783</v>
      </c>
      <c r="N86" s="4">
        <f t="shared" ca="1" si="19"/>
        <v>12.344000000000001</v>
      </c>
      <c r="O86" s="4">
        <f t="shared" ca="1" si="23"/>
        <v>1.4777762402046783</v>
      </c>
      <c r="P86">
        <v>0</v>
      </c>
      <c r="R86" s="2" t="str">
        <f t="shared" si="20"/>
        <v>202110</v>
      </c>
      <c r="S86" s="1">
        <f t="shared" ca="1" si="21"/>
        <v>1.4777762402046783</v>
      </c>
    </row>
    <row r="87" spans="1:19" x14ac:dyDescent="0.25">
      <c r="A87">
        <v>2021</v>
      </c>
      <c r="B87">
        <v>11</v>
      </c>
      <c r="D87" s="329">
        <v>10</v>
      </c>
      <c r="E87" s="329"/>
      <c r="F87" s="329"/>
      <c r="H87" t="str">
        <f t="shared" si="22"/>
        <v>Ortdata!AD98</v>
      </c>
      <c r="I87">
        <f t="shared" ca="1" si="16"/>
        <v>3.0881944444444431</v>
      </c>
      <c r="J87" t="str">
        <f t="shared" si="24"/>
        <v>Ortdata!AB11</v>
      </c>
      <c r="K87">
        <f t="shared" ca="1" si="25"/>
        <v>2.452</v>
      </c>
      <c r="L87">
        <f t="shared" si="17"/>
        <v>11</v>
      </c>
      <c r="M87" s="4">
        <f t="shared" ca="1" si="18"/>
        <v>1.0457305446014076</v>
      </c>
      <c r="N87" s="4">
        <f t="shared" ca="1" si="19"/>
        <v>14.548</v>
      </c>
      <c r="O87" s="4">
        <f t="shared" ca="1" si="23"/>
        <v>1.0457305446014076</v>
      </c>
      <c r="P87">
        <v>0</v>
      </c>
      <c r="R87" s="2" t="str">
        <f t="shared" si="20"/>
        <v>202111</v>
      </c>
      <c r="S87" s="1">
        <f t="shared" ca="1" si="21"/>
        <v>1.0457305446014076</v>
      </c>
    </row>
    <row r="88" spans="1:19" x14ac:dyDescent="0.25">
      <c r="A88">
        <v>2021</v>
      </c>
      <c r="B88">
        <v>12</v>
      </c>
      <c r="D88" s="329">
        <v>10</v>
      </c>
      <c r="E88" s="329"/>
      <c r="F88" s="329"/>
      <c r="H88" t="str">
        <f t="shared" si="22"/>
        <v>Ortdata!AD99</v>
      </c>
      <c r="I88">
        <f t="shared" ca="1" si="16"/>
        <v>-2.3831989247311856</v>
      </c>
      <c r="J88" t="str">
        <f t="shared" si="24"/>
        <v>Ortdata!AB12</v>
      </c>
      <c r="K88">
        <f ca="1">K76</f>
        <v>0.37</v>
      </c>
      <c r="L88">
        <f t="shared" si="17"/>
        <v>12</v>
      </c>
      <c r="M88" s="4">
        <f t="shared" ca="1" si="18"/>
        <v>0.85795951765121925</v>
      </c>
      <c r="N88" s="4">
        <f t="shared" ca="1" si="19"/>
        <v>16.63</v>
      </c>
      <c r="O88" s="4">
        <f t="shared" ca="1" si="23"/>
        <v>0.85795951765121925</v>
      </c>
      <c r="P88">
        <v>0</v>
      </c>
      <c r="R88" s="2" t="str">
        <f t="shared" si="20"/>
        <v>202112</v>
      </c>
      <c r="S88" s="1">
        <f t="shared" ca="1" si="21"/>
        <v>0.85795951765121925</v>
      </c>
    </row>
  </sheetData>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9A2CF-9B55-4E29-BCCD-2B5A46AC3707}">
  <sheetPr codeName="Sheet8"/>
  <dimension ref="A1:EB518"/>
  <sheetViews>
    <sheetView topLeftCell="A382" workbookViewId="0">
      <selection activeCell="G14" sqref="G14"/>
    </sheetView>
  </sheetViews>
  <sheetFormatPr defaultRowHeight="15" x14ac:dyDescent="0.25"/>
  <cols>
    <col min="2" max="2" width="9.85546875" bestFit="1" customWidth="1"/>
  </cols>
  <sheetData>
    <row r="1" spans="1:106" x14ac:dyDescent="0.25">
      <c r="B1" t="s">
        <v>333</v>
      </c>
      <c r="C1" t="s">
        <v>434</v>
      </c>
      <c r="D1" t="s">
        <v>435</v>
      </c>
      <c r="E1" t="s">
        <v>436</v>
      </c>
      <c r="F1" t="s">
        <v>437</v>
      </c>
      <c r="G1">
        <v>-50</v>
      </c>
      <c r="H1">
        <v>-49</v>
      </c>
      <c r="I1">
        <v>-48</v>
      </c>
      <c r="J1">
        <v>-47</v>
      </c>
      <c r="K1">
        <v>-46</v>
      </c>
      <c r="L1">
        <v>-45</v>
      </c>
      <c r="M1">
        <v>-44</v>
      </c>
      <c r="N1">
        <v>-43</v>
      </c>
      <c r="O1">
        <v>-42</v>
      </c>
      <c r="P1">
        <v>-41</v>
      </c>
      <c r="Q1">
        <v>-40</v>
      </c>
      <c r="R1">
        <v>-39</v>
      </c>
      <c r="S1">
        <v>-38</v>
      </c>
      <c r="T1">
        <v>-37</v>
      </c>
      <c r="U1">
        <v>-36</v>
      </c>
      <c r="V1">
        <v>-35</v>
      </c>
      <c r="W1">
        <v>-34</v>
      </c>
      <c r="X1">
        <v>-33</v>
      </c>
      <c r="Y1">
        <v>-32</v>
      </c>
      <c r="Z1">
        <v>-31</v>
      </c>
      <c r="AA1">
        <v>-30</v>
      </c>
      <c r="AB1">
        <v>-29</v>
      </c>
      <c r="AC1">
        <v>-28</v>
      </c>
      <c r="AD1">
        <v>-27</v>
      </c>
      <c r="AE1">
        <v>-26</v>
      </c>
      <c r="AF1">
        <v>-25</v>
      </c>
      <c r="AG1">
        <v>-24</v>
      </c>
      <c r="AH1">
        <v>-23</v>
      </c>
      <c r="AI1">
        <v>-22</v>
      </c>
      <c r="AJ1">
        <v>-21</v>
      </c>
      <c r="AK1">
        <v>-20</v>
      </c>
      <c r="AL1">
        <v>-19</v>
      </c>
      <c r="AM1">
        <v>-18</v>
      </c>
      <c r="AN1">
        <v>-17</v>
      </c>
      <c r="AO1">
        <v>-16</v>
      </c>
      <c r="AP1">
        <v>-15</v>
      </c>
      <c r="AQ1">
        <v>-14</v>
      </c>
      <c r="AR1">
        <v>-13</v>
      </c>
      <c r="AS1">
        <v>-12</v>
      </c>
      <c r="AT1">
        <v>-11</v>
      </c>
      <c r="AU1">
        <v>-10</v>
      </c>
      <c r="AV1">
        <v>-9</v>
      </c>
      <c r="AW1">
        <v>-8</v>
      </c>
      <c r="AX1">
        <v>-7</v>
      </c>
      <c r="AY1">
        <v>-6</v>
      </c>
      <c r="AZ1">
        <v>-5</v>
      </c>
      <c r="BA1">
        <v>-4</v>
      </c>
      <c r="BB1">
        <v>-3</v>
      </c>
      <c r="BC1">
        <v>-2</v>
      </c>
      <c r="BD1">
        <v>-1</v>
      </c>
      <c r="BE1">
        <v>0</v>
      </c>
      <c r="BF1">
        <v>1</v>
      </c>
      <c r="BG1">
        <v>2</v>
      </c>
      <c r="BH1">
        <v>3</v>
      </c>
      <c r="BI1">
        <v>4</v>
      </c>
      <c r="BJ1">
        <v>5</v>
      </c>
      <c r="BK1">
        <v>6</v>
      </c>
      <c r="BL1">
        <v>7</v>
      </c>
      <c r="BM1">
        <v>8</v>
      </c>
      <c r="BN1">
        <v>9</v>
      </c>
      <c r="BO1">
        <v>10</v>
      </c>
      <c r="BP1">
        <v>11</v>
      </c>
      <c r="BQ1">
        <v>12</v>
      </c>
      <c r="BR1">
        <v>13</v>
      </c>
      <c r="BS1">
        <v>14</v>
      </c>
      <c r="BT1">
        <v>15</v>
      </c>
      <c r="BU1">
        <v>16</v>
      </c>
      <c r="BV1">
        <v>17</v>
      </c>
      <c r="BW1">
        <v>18</v>
      </c>
      <c r="BX1">
        <v>19</v>
      </c>
      <c r="BY1">
        <v>20</v>
      </c>
      <c r="BZ1">
        <v>21</v>
      </c>
      <c r="CA1">
        <v>22</v>
      </c>
      <c r="CB1">
        <v>23</v>
      </c>
      <c r="CC1">
        <v>24</v>
      </c>
      <c r="CD1">
        <v>25</v>
      </c>
      <c r="CE1">
        <v>26</v>
      </c>
      <c r="CF1">
        <v>27</v>
      </c>
      <c r="CG1">
        <v>28</v>
      </c>
      <c r="CH1">
        <v>29</v>
      </c>
      <c r="CI1">
        <v>30</v>
      </c>
      <c r="CJ1">
        <v>31</v>
      </c>
      <c r="CK1">
        <v>32</v>
      </c>
      <c r="CL1">
        <v>33</v>
      </c>
      <c r="CM1">
        <v>34</v>
      </c>
      <c r="CN1">
        <v>35</v>
      </c>
      <c r="CO1">
        <v>36</v>
      </c>
      <c r="CP1">
        <v>37</v>
      </c>
      <c r="CQ1">
        <v>38</v>
      </c>
      <c r="CR1">
        <v>39</v>
      </c>
      <c r="CS1">
        <v>40</v>
      </c>
      <c r="CT1">
        <v>41</v>
      </c>
      <c r="CU1">
        <v>42</v>
      </c>
      <c r="CV1">
        <v>43</v>
      </c>
      <c r="CW1">
        <v>44</v>
      </c>
      <c r="CX1">
        <v>45</v>
      </c>
      <c r="CY1">
        <v>46</v>
      </c>
      <c r="CZ1">
        <v>47</v>
      </c>
      <c r="DA1">
        <v>48</v>
      </c>
      <c r="DB1">
        <v>49</v>
      </c>
    </row>
    <row r="2" spans="1:106" x14ac:dyDescent="0.25">
      <c r="A2" s="13" t="s">
        <v>31</v>
      </c>
      <c r="B2" t="s">
        <v>339</v>
      </c>
      <c r="C2" t="s">
        <v>438</v>
      </c>
      <c r="D2" t="s">
        <v>439</v>
      </c>
      <c r="E2" t="s">
        <v>440</v>
      </c>
      <c r="F2">
        <v>102023</v>
      </c>
      <c r="G2">
        <v>0</v>
      </c>
      <c r="H2">
        <v>0</v>
      </c>
      <c r="I2">
        <v>0</v>
      </c>
      <c r="J2">
        <v>0</v>
      </c>
      <c r="K2">
        <v>0</v>
      </c>
      <c r="L2">
        <v>0</v>
      </c>
      <c r="M2">
        <v>0</v>
      </c>
      <c r="N2">
        <v>0</v>
      </c>
      <c r="O2">
        <v>0</v>
      </c>
      <c r="P2">
        <v>0</v>
      </c>
      <c r="Q2">
        <v>0</v>
      </c>
      <c r="R2">
        <v>0</v>
      </c>
      <c r="S2">
        <v>0</v>
      </c>
      <c r="T2">
        <v>0</v>
      </c>
      <c r="U2">
        <v>0</v>
      </c>
      <c r="V2">
        <v>0</v>
      </c>
      <c r="W2">
        <v>0</v>
      </c>
      <c r="X2">
        <v>0</v>
      </c>
      <c r="Y2">
        <v>0</v>
      </c>
      <c r="Z2">
        <v>2</v>
      </c>
      <c r="AA2">
        <v>8</v>
      </c>
      <c r="AB2">
        <v>18</v>
      </c>
      <c r="AC2">
        <v>29</v>
      </c>
      <c r="AD2">
        <v>44</v>
      </c>
      <c r="AE2">
        <v>70</v>
      </c>
      <c r="AF2">
        <v>101</v>
      </c>
      <c r="AG2">
        <v>134</v>
      </c>
      <c r="AH2">
        <v>194</v>
      </c>
      <c r="AI2">
        <v>232</v>
      </c>
      <c r="AJ2">
        <v>281</v>
      </c>
      <c r="AK2">
        <v>354</v>
      </c>
      <c r="AL2">
        <v>430</v>
      </c>
      <c r="AM2">
        <v>577</v>
      </c>
      <c r="AN2">
        <v>677</v>
      </c>
      <c r="AO2">
        <v>796</v>
      </c>
      <c r="AP2">
        <v>912</v>
      </c>
      <c r="AQ2">
        <v>1028</v>
      </c>
      <c r="AR2">
        <v>1179</v>
      </c>
      <c r="AS2">
        <v>1327</v>
      </c>
      <c r="AT2">
        <v>1544</v>
      </c>
      <c r="AU2">
        <v>1762</v>
      </c>
      <c r="AV2">
        <v>1981</v>
      </c>
      <c r="AW2">
        <v>2207</v>
      </c>
      <c r="AX2">
        <v>2457</v>
      </c>
      <c r="AY2">
        <v>2791</v>
      </c>
      <c r="AZ2">
        <v>3159</v>
      </c>
      <c r="BA2">
        <v>3524</v>
      </c>
      <c r="BB2">
        <v>3852</v>
      </c>
      <c r="BC2">
        <v>4128</v>
      </c>
      <c r="BD2">
        <v>4428</v>
      </c>
      <c r="BE2">
        <v>4739</v>
      </c>
      <c r="BF2">
        <v>5070</v>
      </c>
      <c r="BG2">
        <v>5436</v>
      </c>
      <c r="BH2">
        <v>5788</v>
      </c>
      <c r="BI2">
        <v>6084</v>
      </c>
      <c r="BJ2">
        <v>6404</v>
      </c>
      <c r="BK2">
        <v>6714</v>
      </c>
      <c r="BL2">
        <v>7033</v>
      </c>
      <c r="BM2">
        <v>7353</v>
      </c>
      <c r="BN2">
        <v>7632</v>
      </c>
      <c r="BO2">
        <v>7904</v>
      </c>
      <c r="BP2">
        <v>8150</v>
      </c>
      <c r="BQ2">
        <v>8334</v>
      </c>
      <c r="BR2">
        <v>8484</v>
      </c>
      <c r="BS2">
        <v>8577</v>
      </c>
      <c r="BT2">
        <v>8657</v>
      </c>
      <c r="BU2">
        <v>8704</v>
      </c>
      <c r="BV2">
        <v>8722</v>
      </c>
      <c r="BW2">
        <v>8734</v>
      </c>
      <c r="BX2">
        <v>8746</v>
      </c>
      <c r="BY2">
        <v>8755</v>
      </c>
      <c r="BZ2">
        <v>8758</v>
      </c>
      <c r="CA2">
        <v>8760</v>
      </c>
      <c r="CB2">
        <v>8760</v>
      </c>
      <c r="CC2">
        <v>8760</v>
      </c>
      <c r="CD2">
        <v>8760</v>
      </c>
      <c r="CE2">
        <v>8760</v>
      </c>
      <c r="CF2">
        <v>8760</v>
      </c>
      <c r="CG2">
        <v>8760</v>
      </c>
      <c r="CH2">
        <v>8760</v>
      </c>
      <c r="CI2">
        <v>8760</v>
      </c>
      <c r="CJ2">
        <v>8760</v>
      </c>
      <c r="CK2">
        <v>8760</v>
      </c>
      <c r="CL2">
        <v>8760</v>
      </c>
      <c r="CM2">
        <v>8760</v>
      </c>
      <c r="CN2">
        <v>8760</v>
      </c>
      <c r="CO2">
        <v>8760</v>
      </c>
      <c r="CP2">
        <v>8760</v>
      </c>
      <c r="CQ2">
        <v>8760</v>
      </c>
      <c r="CR2">
        <v>8760</v>
      </c>
      <c r="CS2">
        <v>8760</v>
      </c>
      <c r="CT2">
        <v>8760</v>
      </c>
      <c r="CU2">
        <v>8760</v>
      </c>
      <c r="CV2">
        <v>8760</v>
      </c>
      <c r="CW2">
        <v>8760</v>
      </c>
      <c r="CX2">
        <v>8760</v>
      </c>
      <c r="CY2">
        <v>8760</v>
      </c>
      <c r="CZ2">
        <v>8760</v>
      </c>
      <c r="DA2">
        <v>8760</v>
      </c>
      <c r="DB2">
        <v>8760</v>
      </c>
    </row>
    <row r="3" spans="1:106" x14ac:dyDescent="0.25">
      <c r="A3" s="13" t="s">
        <v>32</v>
      </c>
      <c r="B3" t="s">
        <v>32</v>
      </c>
      <c r="C3" t="s">
        <v>438</v>
      </c>
      <c r="D3" t="s">
        <v>441</v>
      </c>
      <c r="E3" t="s">
        <v>442</v>
      </c>
      <c r="F3">
        <v>102627</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0</v>
      </c>
      <c r="AO3">
        <v>8</v>
      </c>
      <c r="AP3">
        <v>21</v>
      </c>
      <c r="AQ3">
        <v>48</v>
      </c>
      <c r="AR3">
        <v>77</v>
      </c>
      <c r="AS3">
        <v>105</v>
      </c>
      <c r="AT3">
        <v>162</v>
      </c>
      <c r="AU3">
        <v>241</v>
      </c>
      <c r="AV3">
        <v>321</v>
      </c>
      <c r="AW3">
        <v>436</v>
      </c>
      <c r="AX3">
        <v>539</v>
      </c>
      <c r="AY3">
        <v>694</v>
      </c>
      <c r="AZ3">
        <v>857</v>
      </c>
      <c r="BA3">
        <v>1072</v>
      </c>
      <c r="BB3">
        <v>1290</v>
      </c>
      <c r="BC3">
        <v>1540</v>
      </c>
      <c r="BD3">
        <v>1854</v>
      </c>
      <c r="BE3">
        <v>2315</v>
      </c>
      <c r="BF3">
        <v>2741</v>
      </c>
      <c r="BG3">
        <v>3151</v>
      </c>
      <c r="BH3">
        <v>3476</v>
      </c>
      <c r="BI3">
        <v>3831</v>
      </c>
      <c r="BJ3">
        <v>4134</v>
      </c>
      <c r="BK3">
        <v>4448</v>
      </c>
      <c r="BL3">
        <v>4750</v>
      </c>
      <c r="BM3">
        <v>5141</v>
      </c>
      <c r="BN3">
        <v>5471</v>
      </c>
      <c r="BO3">
        <v>5788</v>
      </c>
      <c r="BP3">
        <v>6080</v>
      </c>
      <c r="BQ3">
        <v>6429</v>
      </c>
      <c r="BR3">
        <v>6770</v>
      </c>
      <c r="BS3">
        <v>7124</v>
      </c>
      <c r="BT3">
        <v>7424</v>
      </c>
      <c r="BU3">
        <v>7720</v>
      </c>
      <c r="BV3">
        <v>7981</v>
      </c>
      <c r="BW3">
        <v>8220</v>
      </c>
      <c r="BX3">
        <v>8398</v>
      </c>
      <c r="BY3">
        <v>8538</v>
      </c>
      <c r="BZ3">
        <v>8641</v>
      </c>
      <c r="CA3">
        <v>8700</v>
      </c>
      <c r="CB3">
        <v>8732</v>
      </c>
      <c r="CC3">
        <v>8748</v>
      </c>
      <c r="CD3">
        <v>8756</v>
      </c>
      <c r="CE3">
        <v>8757</v>
      </c>
      <c r="CF3">
        <v>8759</v>
      </c>
      <c r="CG3">
        <v>8760</v>
      </c>
      <c r="CH3">
        <v>8760</v>
      </c>
      <c r="CI3">
        <v>8760</v>
      </c>
      <c r="CJ3">
        <v>8760</v>
      </c>
      <c r="CK3">
        <v>8760</v>
      </c>
      <c r="CL3">
        <v>8760</v>
      </c>
      <c r="CM3">
        <v>8760</v>
      </c>
      <c r="CN3">
        <v>8760</v>
      </c>
      <c r="CO3">
        <v>8760</v>
      </c>
      <c r="CP3">
        <v>8760</v>
      </c>
      <c r="CQ3">
        <v>8760</v>
      </c>
      <c r="CR3">
        <v>8760</v>
      </c>
      <c r="CS3">
        <v>8760</v>
      </c>
      <c r="CT3">
        <v>8760</v>
      </c>
      <c r="CU3">
        <v>8760</v>
      </c>
      <c r="CV3">
        <v>8760</v>
      </c>
      <c r="CW3">
        <v>8760</v>
      </c>
      <c r="CX3">
        <v>8760</v>
      </c>
      <c r="CY3">
        <v>8760</v>
      </c>
      <c r="CZ3">
        <v>8760</v>
      </c>
      <c r="DA3">
        <v>8760</v>
      </c>
      <c r="DB3">
        <v>8760</v>
      </c>
    </row>
    <row r="4" spans="1:106" x14ac:dyDescent="0.25">
      <c r="A4" s="13" t="s">
        <v>33</v>
      </c>
      <c r="B4" t="s">
        <v>33</v>
      </c>
      <c r="C4" t="s">
        <v>438</v>
      </c>
      <c r="D4" t="s">
        <v>443</v>
      </c>
      <c r="E4" t="s">
        <v>444</v>
      </c>
      <c r="F4">
        <v>102252</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6</v>
      </c>
      <c r="AP4">
        <v>9</v>
      </c>
      <c r="AQ4">
        <v>10</v>
      </c>
      <c r="AR4">
        <v>19</v>
      </c>
      <c r="AS4">
        <v>32</v>
      </c>
      <c r="AT4">
        <v>41</v>
      </c>
      <c r="AU4">
        <v>53</v>
      </c>
      <c r="AV4">
        <v>76</v>
      </c>
      <c r="AW4">
        <v>117</v>
      </c>
      <c r="AX4">
        <v>167</v>
      </c>
      <c r="AY4">
        <v>231</v>
      </c>
      <c r="AZ4">
        <v>305</v>
      </c>
      <c r="BA4">
        <v>424</v>
      </c>
      <c r="BB4">
        <v>604</v>
      </c>
      <c r="BC4">
        <v>864</v>
      </c>
      <c r="BD4">
        <v>1151</v>
      </c>
      <c r="BE4">
        <v>1497</v>
      </c>
      <c r="BF4">
        <v>1975</v>
      </c>
      <c r="BG4">
        <v>2403</v>
      </c>
      <c r="BH4">
        <v>2850</v>
      </c>
      <c r="BI4">
        <v>3223</v>
      </c>
      <c r="BJ4">
        <v>3654</v>
      </c>
      <c r="BK4">
        <v>4183</v>
      </c>
      <c r="BL4">
        <v>4575</v>
      </c>
      <c r="BM4">
        <v>4928</v>
      </c>
      <c r="BN4">
        <v>5359</v>
      </c>
      <c r="BO4">
        <v>5775</v>
      </c>
      <c r="BP4">
        <v>6132</v>
      </c>
      <c r="BQ4">
        <v>6502</v>
      </c>
      <c r="BR4">
        <v>6858</v>
      </c>
      <c r="BS4">
        <v>7263</v>
      </c>
      <c r="BT4">
        <v>7643</v>
      </c>
      <c r="BU4">
        <v>7918</v>
      </c>
      <c r="BV4">
        <v>8130</v>
      </c>
      <c r="BW4">
        <v>8307</v>
      </c>
      <c r="BX4">
        <v>8442</v>
      </c>
      <c r="BY4">
        <v>8525</v>
      </c>
      <c r="BZ4">
        <v>8588</v>
      </c>
      <c r="CA4">
        <v>8644</v>
      </c>
      <c r="CB4">
        <v>8681</v>
      </c>
      <c r="CC4">
        <v>8702</v>
      </c>
      <c r="CD4">
        <v>8729</v>
      </c>
      <c r="CE4">
        <v>8744</v>
      </c>
      <c r="CF4">
        <v>8752</v>
      </c>
      <c r="CG4">
        <v>8760</v>
      </c>
      <c r="CH4">
        <v>8760</v>
      </c>
      <c r="CI4">
        <v>8760</v>
      </c>
      <c r="CJ4">
        <v>8760</v>
      </c>
      <c r="CK4">
        <v>8760</v>
      </c>
      <c r="CL4">
        <v>8760</v>
      </c>
      <c r="CM4">
        <v>8760</v>
      </c>
      <c r="CN4">
        <v>8760</v>
      </c>
      <c r="CO4">
        <v>8760</v>
      </c>
      <c r="CP4">
        <v>8760</v>
      </c>
      <c r="CQ4">
        <v>8760</v>
      </c>
      <c r="CR4">
        <v>8760</v>
      </c>
      <c r="CS4">
        <v>8760</v>
      </c>
      <c r="CT4">
        <v>8760</v>
      </c>
      <c r="CU4">
        <v>8760</v>
      </c>
      <c r="CV4">
        <v>8760</v>
      </c>
      <c r="CW4">
        <v>8760</v>
      </c>
      <c r="CX4">
        <v>8760</v>
      </c>
      <c r="CY4">
        <v>8760</v>
      </c>
      <c r="CZ4">
        <v>8760</v>
      </c>
      <c r="DA4">
        <v>8760</v>
      </c>
      <c r="DB4">
        <v>8760</v>
      </c>
    </row>
    <row r="5" spans="1:106" x14ac:dyDescent="0.25">
      <c r="A5" s="13" t="s">
        <v>34</v>
      </c>
      <c r="B5" t="s">
        <v>34</v>
      </c>
      <c r="C5" t="s">
        <v>438</v>
      </c>
      <c r="D5" t="s">
        <v>445</v>
      </c>
      <c r="E5" t="s">
        <v>446</v>
      </c>
      <c r="F5">
        <v>102204</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2</v>
      </c>
      <c r="AQ5">
        <v>10</v>
      </c>
      <c r="AR5">
        <v>21</v>
      </c>
      <c r="AS5">
        <v>43</v>
      </c>
      <c r="AT5">
        <v>71</v>
      </c>
      <c r="AU5">
        <v>91</v>
      </c>
      <c r="AV5">
        <v>125</v>
      </c>
      <c r="AW5">
        <v>164</v>
      </c>
      <c r="AX5">
        <v>234</v>
      </c>
      <c r="AY5">
        <v>336</v>
      </c>
      <c r="AZ5">
        <v>479</v>
      </c>
      <c r="BA5">
        <v>691</v>
      </c>
      <c r="BB5">
        <v>932</v>
      </c>
      <c r="BC5">
        <v>1251</v>
      </c>
      <c r="BD5">
        <v>1583</v>
      </c>
      <c r="BE5">
        <v>1939</v>
      </c>
      <c r="BF5">
        <v>2355</v>
      </c>
      <c r="BG5">
        <v>2757</v>
      </c>
      <c r="BH5">
        <v>3256</v>
      </c>
      <c r="BI5">
        <v>3722</v>
      </c>
      <c r="BJ5">
        <v>4159</v>
      </c>
      <c r="BK5">
        <v>4575</v>
      </c>
      <c r="BL5">
        <v>4919</v>
      </c>
      <c r="BM5">
        <v>5199</v>
      </c>
      <c r="BN5">
        <v>5461</v>
      </c>
      <c r="BO5">
        <v>5791</v>
      </c>
      <c r="BP5">
        <v>6182</v>
      </c>
      <c r="BQ5">
        <v>6560</v>
      </c>
      <c r="BR5">
        <v>6960</v>
      </c>
      <c r="BS5">
        <v>7317</v>
      </c>
      <c r="BT5">
        <v>7624</v>
      </c>
      <c r="BU5">
        <v>7901</v>
      </c>
      <c r="BV5">
        <v>8124</v>
      </c>
      <c r="BW5">
        <v>8287</v>
      </c>
      <c r="BX5">
        <v>8396</v>
      </c>
      <c r="BY5">
        <v>8482</v>
      </c>
      <c r="BZ5">
        <v>8552</v>
      </c>
      <c r="CA5">
        <v>8614</v>
      </c>
      <c r="CB5">
        <v>8670</v>
      </c>
      <c r="CC5">
        <v>8707</v>
      </c>
      <c r="CD5">
        <v>8731</v>
      </c>
      <c r="CE5">
        <v>8745</v>
      </c>
      <c r="CF5">
        <v>8754</v>
      </c>
      <c r="CG5">
        <v>8760</v>
      </c>
      <c r="CH5">
        <v>8760</v>
      </c>
      <c r="CI5">
        <v>8760</v>
      </c>
      <c r="CJ5">
        <v>8760</v>
      </c>
      <c r="CK5">
        <v>8760</v>
      </c>
      <c r="CL5">
        <v>8760</v>
      </c>
      <c r="CM5">
        <v>8760</v>
      </c>
      <c r="CN5">
        <v>8760</v>
      </c>
      <c r="CO5">
        <v>8760</v>
      </c>
      <c r="CP5">
        <v>8760</v>
      </c>
      <c r="CQ5">
        <v>8760</v>
      </c>
      <c r="CR5">
        <v>8760</v>
      </c>
      <c r="CS5">
        <v>8760</v>
      </c>
      <c r="CT5">
        <v>8760</v>
      </c>
      <c r="CU5">
        <v>8760</v>
      </c>
      <c r="CV5">
        <v>8760</v>
      </c>
      <c r="CW5">
        <v>8760</v>
      </c>
      <c r="CX5">
        <v>8760</v>
      </c>
      <c r="CY5">
        <v>8760</v>
      </c>
      <c r="CZ5">
        <v>8760</v>
      </c>
      <c r="DA5">
        <v>8760</v>
      </c>
      <c r="DB5">
        <v>8760</v>
      </c>
    </row>
    <row r="6" spans="1:106" x14ac:dyDescent="0.25">
      <c r="A6" s="13" t="s">
        <v>35</v>
      </c>
    </row>
    <row r="7" spans="1:106" x14ac:dyDescent="0.25">
      <c r="A7" s="13" t="s">
        <v>36</v>
      </c>
    </row>
    <row r="8" spans="1:106" x14ac:dyDescent="0.25">
      <c r="A8" s="13" t="s">
        <v>37</v>
      </c>
      <c r="B8" t="s">
        <v>37</v>
      </c>
      <c r="C8" t="s">
        <v>438</v>
      </c>
      <c r="D8" t="s">
        <v>447</v>
      </c>
      <c r="E8" t="s">
        <v>448</v>
      </c>
      <c r="F8">
        <v>102332</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1</v>
      </c>
      <c r="AN8">
        <v>5</v>
      </c>
      <c r="AO8">
        <v>9</v>
      </c>
      <c r="AP8">
        <v>15</v>
      </c>
      <c r="AQ8">
        <v>24</v>
      </c>
      <c r="AR8">
        <v>33</v>
      </c>
      <c r="AS8">
        <v>54</v>
      </c>
      <c r="AT8">
        <v>79</v>
      </c>
      <c r="AU8">
        <v>111</v>
      </c>
      <c r="AV8">
        <v>167</v>
      </c>
      <c r="AW8">
        <v>219</v>
      </c>
      <c r="AX8">
        <v>306</v>
      </c>
      <c r="AY8">
        <v>394</v>
      </c>
      <c r="AZ8">
        <v>531</v>
      </c>
      <c r="BA8">
        <v>776</v>
      </c>
      <c r="BB8">
        <v>1034</v>
      </c>
      <c r="BC8">
        <v>1293</v>
      </c>
      <c r="BD8">
        <v>1655</v>
      </c>
      <c r="BE8">
        <v>2169</v>
      </c>
      <c r="BF8">
        <v>2542</v>
      </c>
      <c r="BG8">
        <v>3020</v>
      </c>
      <c r="BH8">
        <v>3484</v>
      </c>
      <c r="BI8">
        <v>3817</v>
      </c>
      <c r="BJ8">
        <v>4180</v>
      </c>
      <c r="BK8">
        <v>4518</v>
      </c>
      <c r="BL8">
        <v>4845</v>
      </c>
      <c r="BM8">
        <v>5114</v>
      </c>
      <c r="BN8">
        <v>5433</v>
      </c>
      <c r="BO8">
        <v>5856</v>
      </c>
      <c r="BP8">
        <v>6229</v>
      </c>
      <c r="BQ8">
        <v>6612</v>
      </c>
      <c r="BR8">
        <v>6903</v>
      </c>
      <c r="BS8">
        <v>7218</v>
      </c>
      <c r="BT8">
        <v>7534</v>
      </c>
      <c r="BU8">
        <v>7827</v>
      </c>
      <c r="BV8">
        <v>8065</v>
      </c>
      <c r="BW8">
        <v>8254</v>
      </c>
      <c r="BX8">
        <v>8410</v>
      </c>
      <c r="BY8">
        <v>8519</v>
      </c>
      <c r="BZ8">
        <v>8602</v>
      </c>
      <c r="CA8">
        <v>8673</v>
      </c>
      <c r="CB8">
        <v>8707</v>
      </c>
      <c r="CC8">
        <v>8729</v>
      </c>
      <c r="CD8">
        <v>8740</v>
      </c>
      <c r="CE8">
        <v>8751</v>
      </c>
      <c r="CF8">
        <v>8756</v>
      </c>
      <c r="CG8">
        <v>8758</v>
      </c>
      <c r="CH8">
        <v>8759</v>
      </c>
      <c r="CI8">
        <v>8760</v>
      </c>
      <c r="CJ8">
        <v>8760</v>
      </c>
      <c r="CK8">
        <v>8760</v>
      </c>
      <c r="CL8">
        <v>8760</v>
      </c>
      <c r="CM8">
        <v>8760</v>
      </c>
      <c r="CN8">
        <v>8760</v>
      </c>
      <c r="CO8">
        <v>8760</v>
      </c>
      <c r="CP8">
        <v>8760</v>
      </c>
      <c r="CQ8">
        <v>8760</v>
      </c>
      <c r="CR8">
        <v>8760</v>
      </c>
      <c r="CS8">
        <v>8760</v>
      </c>
      <c r="CT8">
        <v>8760</v>
      </c>
      <c r="CU8">
        <v>8760</v>
      </c>
      <c r="CV8">
        <v>8760</v>
      </c>
      <c r="CW8">
        <v>8760</v>
      </c>
      <c r="CX8">
        <v>8760</v>
      </c>
      <c r="CY8">
        <v>8760</v>
      </c>
      <c r="CZ8">
        <v>8760</v>
      </c>
      <c r="DA8">
        <v>8760</v>
      </c>
      <c r="DB8">
        <v>8760</v>
      </c>
    </row>
    <row r="9" spans="1:106" x14ac:dyDescent="0.25">
      <c r="B9" t="s">
        <v>344</v>
      </c>
      <c r="C9" t="s">
        <v>438</v>
      </c>
      <c r="D9" t="s">
        <v>449</v>
      </c>
      <c r="E9" t="s">
        <v>450</v>
      </c>
      <c r="F9">
        <v>102343</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2</v>
      </c>
      <c r="AM9">
        <v>6</v>
      </c>
      <c r="AN9">
        <v>10</v>
      </c>
      <c r="AO9">
        <v>17</v>
      </c>
      <c r="AP9">
        <v>26</v>
      </c>
      <c r="AQ9">
        <v>43</v>
      </c>
      <c r="AR9">
        <v>88</v>
      </c>
      <c r="AS9">
        <v>129</v>
      </c>
      <c r="AT9">
        <v>202</v>
      </c>
      <c r="AU9">
        <v>283</v>
      </c>
      <c r="AV9">
        <v>367</v>
      </c>
      <c r="AW9">
        <v>448</v>
      </c>
      <c r="AX9">
        <v>564</v>
      </c>
      <c r="AY9">
        <v>695</v>
      </c>
      <c r="AZ9">
        <v>876</v>
      </c>
      <c r="BA9">
        <v>1116</v>
      </c>
      <c r="BB9">
        <v>1361</v>
      </c>
      <c r="BC9">
        <v>1668</v>
      </c>
      <c r="BD9">
        <v>2043</v>
      </c>
      <c r="BE9">
        <v>2474</v>
      </c>
      <c r="BF9">
        <v>2863</v>
      </c>
      <c r="BG9">
        <v>3219</v>
      </c>
      <c r="BH9">
        <v>3592</v>
      </c>
      <c r="BI9">
        <v>3929</v>
      </c>
      <c r="BJ9">
        <v>4331</v>
      </c>
      <c r="BK9">
        <v>4687</v>
      </c>
      <c r="BL9">
        <v>5000</v>
      </c>
      <c r="BM9">
        <v>5354</v>
      </c>
      <c r="BN9">
        <v>5741</v>
      </c>
      <c r="BO9">
        <v>6175</v>
      </c>
      <c r="BP9">
        <v>6549</v>
      </c>
      <c r="BQ9">
        <v>6921</v>
      </c>
      <c r="BR9">
        <v>7270</v>
      </c>
      <c r="BS9">
        <v>7578</v>
      </c>
      <c r="BT9">
        <v>7876</v>
      </c>
      <c r="BU9">
        <v>8140</v>
      </c>
      <c r="BV9">
        <v>8338</v>
      </c>
      <c r="BW9">
        <v>8485</v>
      </c>
      <c r="BX9">
        <v>8583</v>
      </c>
      <c r="BY9">
        <v>8647</v>
      </c>
      <c r="BZ9">
        <v>8697</v>
      </c>
      <c r="CA9">
        <v>8728</v>
      </c>
      <c r="CB9">
        <v>8741</v>
      </c>
      <c r="CC9">
        <v>8751</v>
      </c>
      <c r="CD9">
        <v>8757</v>
      </c>
      <c r="CE9">
        <v>8760</v>
      </c>
      <c r="CF9">
        <v>8760</v>
      </c>
      <c r="CG9">
        <v>8760</v>
      </c>
      <c r="CH9">
        <v>8760</v>
      </c>
      <c r="CI9">
        <v>8760</v>
      </c>
      <c r="CJ9">
        <v>8760</v>
      </c>
      <c r="CK9">
        <v>8760</v>
      </c>
      <c r="CL9">
        <v>8760</v>
      </c>
      <c r="CM9">
        <v>8760</v>
      </c>
      <c r="CN9">
        <v>8760</v>
      </c>
      <c r="CO9">
        <v>8760</v>
      </c>
      <c r="CP9">
        <v>8760</v>
      </c>
      <c r="CQ9">
        <v>8760</v>
      </c>
      <c r="CR9">
        <v>8760</v>
      </c>
      <c r="CS9">
        <v>8760</v>
      </c>
      <c r="CT9">
        <v>8760</v>
      </c>
      <c r="CU9">
        <v>8760</v>
      </c>
      <c r="CV9">
        <v>8760</v>
      </c>
      <c r="CW9">
        <v>8760</v>
      </c>
      <c r="CX9">
        <v>8760</v>
      </c>
      <c r="CY9">
        <v>8760</v>
      </c>
      <c r="CZ9">
        <v>8760</v>
      </c>
      <c r="DA9">
        <v>8760</v>
      </c>
      <c r="DB9">
        <v>8760</v>
      </c>
    </row>
    <row r="10" spans="1:106" x14ac:dyDescent="0.25">
      <c r="A10" s="13" t="s">
        <v>38</v>
      </c>
    </row>
    <row r="11" spans="1:106" x14ac:dyDescent="0.25">
      <c r="A11" s="13" t="s">
        <v>39</v>
      </c>
    </row>
    <row r="12" spans="1:106" x14ac:dyDescent="0.25">
      <c r="A12" s="13" t="s">
        <v>40</v>
      </c>
    </row>
    <row r="13" spans="1:106" x14ac:dyDescent="0.25">
      <c r="A13" s="13" t="s">
        <v>41</v>
      </c>
    </row>
    <row r="14" spans="1:106" x14ac:dyDescent="0.25">
      <c r="A14" s="13" t="s">
        <v>42</v>
      </c>
    </row>
    <row r="15" spans="1:106" x14ac:dyDescent="0.25">
      <c r="A15" s="13" t="s">
        <v>43</v>
      </c>
    </row>
    <row r="16" spans="1:106" x14ac:dyDescent="0.25">
      <c r="A16" s="13" t="s">
        <v>44</v>
      </c>
    </row>
    <row r="17" spans="1:106" x14ac:dyDescent="0.25">
      <c r="A17" s="13"/>
    </row>
    <row r="18" spans="1:106" x14ac:dyDescent="0.25">
      <c r="A18" s="13"/>
    </row>
    <row r="19" spans="1:106" x14ac:dyDescent="0.25">
      <c r="A19" s="13"/>
    </row>
    <row r="21" spans="1:106" x14ac:dyDescent="0.25">
      <c r="B21" t="s">
        <v>42</v>
      </c>
      <c r="C21" t="s">
        <v>438</v>
      </c>
      <c r="D21" t="s">
        <v>451</v>
      </c>
      <c r="E21" t="s">
        <v>452</v>
      </c>
      <c r="F21">
        <v>102601</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4</v>
      </c>
      <c r="AK21">
        <v>5</v>
      </c>
      <c r="AL21">
        <v>10</v>
      </c>
      <c r="AM21">
        <v>23</v>
      </c>
      <c r="AN21">
        <v>43</v>
      </c>
      <c r="AO21">
        <v>69</v>
      </c>
      <c r="AP21">
        <v>99</v>
      </c>
      <c r="AQ21">
        <v>152</v>
      </c>
      <c r="AR21">
        <v>202</v>
      </c>
      <c r="AS21">
        <v>246</v>
      </c>
      <c r="AT21">
        <v>308</v>
      </c>
      <c r="AU21">
        <v>376</v>
      </c>
      <c r="AV21">
        <v>470</v>
      </c>
      <c r="AW21">
        <v>577</v>
      </c>
      <c r="AX21">
        <v>705</v>
      </c>
      <c r="AY21">
        <v>841</v>
      </c>
      <c r="AZ21">
        <v>1014</v>
      </c>
      <c r="BA21">
        <v>1249</v>
      </c>
      <c r="BB21">
        <v>1552</v>
      </c>
      <c r="BC21">
        <v>1922</v>
      </c>
      <c r="BD21">
        <v>2242</v>
      </c>
      <c r="BE21">
        <v>2611</v>
      </c>
      <c r="BF21">
        <v>2994</v>
      </c>
      <c r="BG21">
        <v>3337</v>
      </c>
      <c r="BH21">
        <v>3666</v>
      </c>
      <c r="BI21">
        <v>3959</v>
      </c>
      <c r="BJ21">
        <v>4226</v>
      </c>
      <c r="BK21">
        <v>4528</v>
      </c>
      <c r="BL21">
        <v>4820</v>
      </c>
      <c r="BM21">
        <v>5151</v>
      </c>
      <c r="BN21">
        <v>5524</v>
      </c>
      <c r="BO21">
        <v>5839</v>
      </c>
      <c r="BP21">
        <v>6210</v>
      </c>
      <c r="BQ21">
        <v>6576</v>
      </c>
      <c r="BR21">
        <v>6946</v>
      </c>
      <c r="BS21">
        <v>7255</v>
      </c>
      <c r="BT21">
        <v>7524</v>
      </c>
      <c r="BU21">
        <v>7764</v>
      </c>
      <c r="BV21">
        <v>7954</v>
      </c>
      <c r="BW21">
        <v>8142</v>
      </c>
      <c r="BX21">
        <v>8310</v>
      </c>
      <c r="BY21">
        <v>8411</v>
      </c>
      <c r="BZ21">
        <v>8484</v>
      </c>
      <c r="CA21">
        <v>8549</v>
      </c>
      <c r="CB21">
        <v>8606</v>
      </c>
      <c r="CC21">
        <v>8649</v>
      </c>
      <c r="CD21">
        <v>8695</v>
      </c>
      <c r="CE21">
        <v>8721</v>
      </c>
      <c r="CF21">
        <v>8736</v>
      </c>
      <c r="CG21">
        <v>8753</v>
      </c>
      <c r="CH21">
        <v>8760</v>
      </c>
      <c r="CI21">
        <v>8760</v>
      </c>
      <c r="CJ21">
        <v>8760</v>
      </c>
      <c r="CK21">
        <v>8760</v>
      </c>
      <c r="CL21">
        <v>8760</v>
      </c>
      <c r="CM21">
        <v>8760</v>
      </c>
      <c r="CN21">
        <v>8760</v>
      </c>
      <c r="CO21">
        <v>8760</v>
      </c>
      <c r="CP21">
        <v>8760</v>
      </c>
      <c r="CQ21">
        <v>8760</v>
      </c>
      <c r="CR21">
        <v>8760</v>
      </c>
      <c r="CS21">
        <v>8760</v>
      </c>
      <c r="CT21">
        <v>8760</v>
      </c>
      <c r="CU21">
        <v>8760</v>
      </c>
      <c r="CV21">
        <v>8760</v>
      </c>
      <c r="CW21">
        <v>8760</v>
      </c>
      <c r="CX21">
        <v>8760</v>
      </c>
      <c r="CY21">
        <v>8760</v>
      </c>
      <c r="CZ21">
        <v>8760</v>
      </c>
      <c r="DA21">
        <v>8760</v>
      </c>
      <c r="DB21">
        <v>8760</v>
      </c>
    </row>
    <row r="22" spans="1:106" x14ac:dyDescent="0.25">
      <c r="B22" t="s">
        <v>45</v>
      </c>
      <c r="C22" t="s">
        <v>438</v>
      </c>
      <c r="D22" t="s">
        <v>453</v>
      </c>
      <c r="E22" t="s">
        <v>454</v>
      </c>
      <c r="F22">
        <v>102001</v>
      </c>
      <c r="G22">
        <v>0</v>
      </c>
      <c r="H22">
        <v>0</v>
      </c>
      <c r="I22">
        <v>0</v>
      </c>
      <c r="J22">
        <v>0</v>
      </c>
      <c r="K22">
        <v>0</v>
      </c>
      <c r="L22">
        <v>0</v>
      </c>
      <c r="M22">
        <v>0</v>
      </c>
      <c r="N22">
        <v>0</v>
      </c>
      <c r="O22">
        <v>0</v>
      </c>
      <c r="P22">
        <v>0</v>
      </c>
      <c r="Q22">
        <v>0</v>
      </c>
      <c r="R22">
        <v>0</v>
      </c>
      <c r="S22">
        <v>0</v>
      </c>
      <c r="T22">
        <v>3</v>
      </c>
      <c r="U22">
        <v>7</v>
      </c>
      <c r="V22">
        <v>9</v>
      </c>
      <c r="W22">
        <v>12</v>
      </c>
      <c r="X22">
        <v>14</v>
      </c>
      <c r="Y22">
        <v>17</v>
      </c>
      <c r="Z22">
        <v>22</v>
      </c>
      <c r="AA22">
        <v>36</v>
      </c>
      <c r="AB22">
        <v>53</v>
      </c>
      <c r="AC22">
        <v>104</v>
      </c>
      <c r="AD22">
        <v>152</v>
      </c>
      <c r="AE22">
        <v>186</v>
      </c>
      <c r="AF22">
        <v>212</v>
      </c>
      <c r="AG22">
        <v>260</v>
      </c>
      <c r="AH22">
        <v>307</v>
      </c>
      <c r="AI22">
        <v>353</v>
      </c>
      <c r="AJ22">
        <v>397</v>
      </c>
      <c r="AK22">
        <v>441</v>
      </c>
      <c r="AL22">
        <v>506</v>
      </c>
      <c r="AM22">
        <v>593</v>
      </c>
      <c r="AN22">
        <v>661</v>
      </c>
      <c r="AO22">
        <v>748</v>
      </c>
      <c r="AP22">
        <v>845</v>
      </c>
      <c r="AQ22">
        <v>960</v>
      </c>
      <c r="AR22">
        <v>1070</v>
      </c>
      <c r="AS22">
        <v>1208</v>
      </c>
      <c r="AT22">
        <v>1373</v>
      </c>
      <c r="AU22">
        <v>1547</v>
      </c>
      <c r="AV22">
        <v>1747</v>
      </c>
      <c r="AW22">
        <v>1972</v>
      </c>
      <c r="AX22">
        <v>2197</v>
      </c>
      <c r="AY22">
        <v>2480</v>
      </c>
      <c r="AZ22">
        <v>2735</v>
      </c>
      <c r="BA22">
        <v>3019</v>
      </c>
      <c r="BB22">
        <v>3310</v>
      </c>
      <c r="BC22">
        <v>3656</v>
      </c>
      <c r="BD22">
        <v>4013</v>
      </c>
      <c r="BE22">
        <v>4349</v>
      </c>
      <c r="BF22">
        <v>4654</v>
      </c>
      <c r="BG22">
        <v>4990</v>
      </c>
      <c r="BH22">
        <v>5248</v>
      </c>
      <c r="BI22">
        <v>5555</v>
      </c>
      <c r="BJ22">
        <v>5848</v>
      </c>
      <c r="BK22">
        <v>6171</v>
      </c>
      <c r="BL22">
        <v>6496</v>
      </c>
      <c r="BM22">
        <v>6844</v>
      </c>
      <c r="BN22">
        <v>7164</v>
      </c>
      <c r="BO22">
        <v>7460</v>
      </c>
      <c r="BP22">
        <v>7733</v>
      </c>
      <c r="BQ22">
        <v>7965</v>
      </c>
      <c r="BR22">
        <v>8163</v>
      </c>
      <c r="BS22">
        <v>8332</v>
      </c>
      <c r="BT22">
        <v>8473</v>
      </c>
      <c r="BU22">
        <v>8567</v>
      </c>
      <c r="BV22">
        <v>8648</v>
      </c>
      <c r="BW22">
        <v>8702</v>
      </c>
      <c r="BX22">
        <v>8741</v>
      </c>
      <c r="BY22">
        <v>8756</v>
      </c>
      <c r="BZ22">
        <v>8759</v>
      </c>
      <c r="CA22">
        <v>8760</v>
      </c>
      <c r="CB22">
        <v>8760</v>
      </c>
      <c r="CC22">
        <v>8760</v>
      </c>
      <c r="CD22">
        <v>8760</v>
      </c>
      <c r="CE22">
        <v>8760</v>
      </c>
      <c r="CF22">
        <v>8760</v>
      </c>
      <c r="CG22">
        <v>8760</v>
      </c>
      <c r="CH22">
        <v>8760</v>
      </c>
      <c r="CI22">
        <v>8760</v>
      </c>
      <c r="CJ22">
        <v>8760</v>
      </c>
      <c r="CK22">
        <v>8760</v>
      </c>
      <c r="CL22">
        <v>8760</v>
      </c>
      <c r="CM22">
        <v>8760</v>
      </c>
      <c r="CN22">
        <v>8760</v>
      </c>
      <c r="CO22">
        <v>8760</v>
      </c>
      <c r="CP22">
        <v>8760</v>
      </c>
      <c r="CQ22">
        <v>8760</v>
      </c>
      <c r="CR22">
        <v>8760</v>
      </c>
      <c r="CS22">
        <v>8760</v>
      </c>
      <c r="CT22">
        <v>8760</v>
      </c>
      <c r="CU22">
        <v>8760</v>
      </c>
      <c r="CV22">
        <v>8760</v>
      </c>
      <c r="CW22">
        <v>8760</v>
      </c>
      <c r="CX22">
        <v>8760</v>
      </c>
      <c r="CY22">
        <v>8760</v>
      </c>
      <c r="CZ22">
        <v>8760</v>
      </c>
      <c r="DA22">
        <v>8760</v>
      </c>
      <c r="DB22">
        <v>8760</v>
      </c>
    </row>
    <row r="23" spans="1:106" x14ac:dyDescent="0.25">
      <c r="B23" t="s">
        <v>46</v>
      </c>
      <c r="C23" t="s">
        <v>438</v>
      </c>
      <c r="D23" t="s">
        <v>455</v>
      </c>
      <c r="E23" t="s">
        <v>456</v>
      </c>
      <c r="F23">
        <v>102002</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2</v>
      </c>
      <c r="AE23">
        <v>11</v>
      </c>
      <c r="AF23">
        <v>36</v>
      </c>
      <c r="AG23">
        <v>68</v>
      </c>
      <c r="AH23">
        <v>97</v>
      </c>
      <c r="AI23">
        <v>132</v>
      </c>
      <c r="AJ23">
        <v>175</v>
      </c>
      <c r="AK23">
        <v>233</v>
      </c>
      <c r="AL23">
        <v>284</v>
      </c>
      <c r="AM23">
        <v>364</v>
      </c>
      <c r="AN23">
        <v>437</v>
      </c>
      <c r="AO23">
        <v>540</v>
      </c>
      <c r="AP23">
        <v>665</v>
      </c>
      <c r="AQ23">
        <v>776</v>
      </c>
      <c r="AR23">
        <v>907</v>
      </c>
      <c r="AS23">
        <v>1054</v>
      </c>
      <c r="AT23">
        <v>1247</v>
      </c>
      <c r="AU23">
        <v>1457</v>
      </c>
      <c r="AV23">
        <v>1728</v>
      </c>
      <c r="AW23">
        <v>2036</v>
      </c>
      <c r="AX23">
        <v>2335</v>
      </c>
      <c r="AY23">
        <v>2641</v>
      </c>
      <c r="AZ23">
        <v>2924</v>
      </c>
      <c r="BA23">
        <v>3229</v>
      </c>
      <c r="BB23">
        <v>3518</v>
      </c>
      <c r="BC23">
        <v>3768</v>
      </c>
      <c r="BD23">
        <v>4059</v>
      </c>
      <c r="BE23">
        <v>4389</v>
      </c>
      <c r="BF23">
        <v>4687</v>
      </c>
      <c r="BG23">
        <v>4962</v>
      </c>
      <c r="BH23">
        <v>5209</v>
      </c>
      <c r="BI23">
        <v>5482</v>
      </c>
      <c r="BJ23">
        <v>5754</v>
      </c>
      <c r="BK23">
        <v>6070</v>
      </c>
      <c r="BL23">
        <v>6361</v>
      </c>
      <c r="BM23">
        <v>6647</v>
      </c>
      <c r="BN23">
        <v>6916</v>
      </c>
      <c r="BO23">
        <v>7183</v>
      </c>
      <c r="BP23">
        <v>7521</v>
      </c>
      <c r="BQ23">
        <v>7776</v>
      </c>
      <c r="BR23">
        <v>7981</v>
      </c>
      <c r="BS23">
        <v>8182</v>
      </c>
      <c r="BT23">
        <v>8347</v>
      </c>
      <c r="BU23">
        <v>8450</v>
      </c>
      <c r="BV23">
        <v>8532</v>
      </c>
      <c r="BW23">
        <v>8619</v>
      </c>
      <c r="BX23">
        <v>8689</v>
      </c>
      <c r="BY23">
        <v>8726</v>
      </c>
      <c r="BZ23">
        <v>8742</v>
      </c>
      <c r="CA23">
        <v>8749</v>
      </c>
      <c r="CB23">
        <v>8750</v>
      </c>
      <c r="CC23">
        <v>8752</v>
      </c>
      <c r="CD23">
        <v>8753</v>
      </c>
      <c r="CE23">
        <v>8757</v>
      </c>
      <c r="CF23">
        <v>8760</v>
      </c>
      <c r="CG23">
        <v>8760</v>
      </c>
      <c r="CH23">
        <v>8760</v>
      </c>
      <c r="CI23">
        <v>8760</v>
      </c>
      <c r="CJ23">
        <v>8760</v>
      </c>
      <c r="CK23">
        <v>8760</v>
      </c>
      <c r="CL23">
        <v>8760</v>
      </c>
      <c r="CM23">
        <v>8760</v>
      </c>
      <c r="CN23">
        <v>8760</v>
      </c>
      <c r="CO23">
        <v>8760</v>
      </c>
      <c r="CP23">
        <v>8760</v>
      </c>
      <c r="CQ23">
        <v>8760</v>
      </c>
      <c r="CR23">
        <v>8760</v>
      </c>
      <c r="CS23">
        <v>8760</v>
      </c>
      <c r="CT23">
        <v>8760</v>
      </c>
      <c r="CU23">
        <v>8760</v>
      </c>
      <c r="CV23">
        <v>8760</v>
      </c>
      <c r="CW23">
        <v>8760</v>
      </c>
      <c r="CX23">
        <v>8760</v>
      </c>
      <c r="CY23">
        <v>8760</v>
      </c>
      <c r="CZ23">
        <v>8760</v>
      </c>
      <c r="DA23">
        <v>8760</v>
      </c>
      <c r="DB23">
        <v>8760</v>
      </c>
    </row>
    <row r="24" spans="1:106" x14ac:dyDescent="0.25">
      <c r="B24" t="s">
        <v>47</v>
      </c>
      <c r="C24" t="s">
        <v>438</v>
      </c>
      <c r="D24" t="s">
        <v>457</v>
      </c>
      <c r="E24" t="s">
        <v>458</v>
      </c>
      <c r="F24">
        <v>102503</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1</v>
      </c>
      <c r="AL24">
        <v>10</v>
      </c>
      <c r="AM24">
        <v>26</v>
      </c>
      <c r="AN24">
        <v>50</v>
      </c>
      <c r="AO24">
        <v>66</v>
      </c>
      <c r="AP24">
        <v>87</v>
      </c>
      <c r="AQ24">
        <v>108</v>
      </c>
      <c r="AR24">
        <v>138</v>
      </c>
      <c r="AS24">
        <v>174</v>
      </c>
      <c r="AT24">
        <v>219</v>
      </c>
      <c r="AU24">
        <v>286</v>
      </c>
      <c r="AV24">
        <v>353</v>
      </c>
      <c r="AW24">
        <v>442</v>
      </c>
      <c r="AX24">
        <v>561</v>
      </c>
      <c r="AY24">
        <v>710</v>
      </c>
      <c r="AZ24">
        <v>905</v>
      </c>
      <c r="BA24">
        <v>1119</v>
      </c>
      <c r="BB24">
        <v>1427</v>
      </c>
      <c r="BC24">
        <v>1759</v>
      </c>
      <c r="BD24">
        <v>2151</v>
      </c>
      <c r="BE24">
        <v>2597</v>
      </c>
      <c r="BF24">
        <v>3034</v>
      </c>
      <c r="BG24">
        <v>3482</v>
      </c>
      <c r="BH24">
        <v>3853</v>
      </c>
      <c r="BI24">
        <v>4268</v>
      </c>
      <c r="BJ24">
        <v>4628</v>
      </c>
      <c r="BK24">
        <v>4942</v>
      </c>
      <c r="BL24">
        <v>5232</v>
      </c>
      <c r="BM24">
        <v>5525</v>
      </c>
      <c r="BN24">
        <v>5804</v>
      </c>
      <c r="BO24">
        <v>6112</v>
      </c>
      <c r="BP24">
        <v>6426</v>
      </c>
      <c r="BQ24">
        <v>6722</v>
      </c>
      <c r="BR24">
        <v>7059</v>
      </c>
      <c r="BS24">
        <v>7324</v>
      </c>
      <c r="BT24">
        <v>7582</v>
      </c>
      <c r="BU24">
        <v>7809</v>
      </c>
      <c r="BV24">
        <v>7987</v>
      </c>
      <c r="BW24">
        <v>8148</v>
      </c>
      <c r="BX24">
        <v>8303</v>
      </c>
      <c r="BY24">
        <v>8398</v>
      </c>
      <c r="BZ24">
        <v>8472</v>
      </c>
      <c r="CA24">
        <v>8547</v>
      </c>
      <c r="CB24">
        <v>8602</v>
      </c>
      <c r="CC24">
        <v>8645</v>
      </c>
      <c r="CD24">
        <v>8690</v>
      </c>
      <c r="CE24">
        <v>8736</v>
      </c>
      <c r="CF24">
        <v>8753</v>
      </c>
      <c r="CG24">
        <v>8760</v>
      </c>
      <c r="CH24">
        <v>8760</v>
      </c>
      <c r="CI24">
        <v>8760</v>
      </c>
      <c r="CJ24">
        <v>8760</v>
      </c>
      <c r="CK24">
        <v>8760</v>
      </c>
      <c r="CL24">
        <v>8760</v>
      </c>
      <c r="CM24">
        <v>8760</v>
      </c>
      <c r="CN24">
        <v>8760</v>
      </c>
      <c r="CO24">
        <v>8760</v>
      </c>
      <c r="CP24">
        <v>8760</v>
      </c>
      <c r="CQ24">
        <v>8760</v>
      </c>
      <c r="CR24">
        <v>8760</v>
      </c>
      <c r="CS24">
        <v>8760</v>
      </c>
      <c r="CT24">
        <v>8760</v>
      </c>
      <c r="CU24">
        <v>8760</v>
      </c>
      <c r="CV24">
        <v>8760</v>
      </c>
      <c r="CW24">
        <v>8760</v>
      </c>
      <c r="CX24">
        <v>8760</v>
      </c>
      <c r="CY24">
        <v>8760</v>
      </c>
      <c r="CZ24">
        <v>8760</v>
      </c>
      <c r="DA24">
        <v>8760</v>
      </c>
      <c r="DB24">
        <v>8760</v>
      </c>
    </row>
    <row r="25" spans="1:106" x14ac:dyDescent="0.25">
      <c r="B25" t="s">
        <v>49</v>
      </c>
      <c r="C25" t="s">
        <v>438</v>
      </c>
      <c r="D25" t="s">
        <v>459</v>
      </c>
      <c r="E25" t="s">
        <v>460</v>
      </c>
      <c r="F25">
        <v>102512</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3</v>
      </c>
      <c r="AM25">
        <v>6</v>
      </c>
      <c r="AN25">
        <v>8</v>
      </c>
      <c r="AO25">
        <v>18</v>
      </c>
      <c r="AP25">
        <v>42</v>
      </c>
      <c r="AQ25">
        <v>82</v>
      </c>
      <c r="AR25">
        <v>104</v>
      </c>
      <c r="AS25">
        <v>138</v>
      </c>
      <c r="AT25">
        <v>181</v>
      </c>
      <c r="AU25">
        <v>217</v>
      </c>
      <c r="AV25">
        <v>253</v>
      </c>
      <c r="AW25">
        <v>298</v>
      </c>
      <c r="AX25">
        <v>419</v>
      </c>
      <c r="AY25">
        <v>584</v>
      </c>
      <c r="AZ25">
        <v>793</v>
      </c>
      <c r="BA25">
        <v>1045</v>
      </c>
      <c r="BB25">
        <v>1338</v>
      </c>
      <c r="BC25">
        <v>1604</v>
      </c>
      <c r="BD25">
        <v>2006</v>
      </c>
      <c r="BE25">
        <v>2487</v>
      </c>
      <c r="BF25">
        <v>2926</v>
      </c>
      <c r="BG25">
        <v>3325</v>
      </c>
      <c r="BH25">
        <v>3693</v>
      </c>
      <c r="BI25">
        <v>4022</v>
      </c>
      <c r="BJ25">
        <v>4404</v>
      </c>
      <c r="BK25">
        <v>4783</v>
      </c>
      <c r="BL25">
        <v>5111</v>
      </c>
      <c r="BM25">
        <v>5416</v>
      </c>
      <c r="BN25">
        <v>5703</v>
      </c>
      <c r="BO25">
        <v>6038</v>
      </c>
      <c r="BP25">
        <v>6389</v>
      </c>
      <c r="BQ25">
        <v>6724</v>
      </c>
      <c r="BR25">
        <v>7052</v>
      </c>
      <c r="BS25">
        <v>7329</v>
      </c>
      <c r="BT25">
        <v>7601</v>
      </c>
      <c r="BU25">
        <v>7852</v>
      </c>
      <c r="BV25">
        <v>8056</v>
      </c>
      <c r="BW25">
        <v>8234</v>
      </c>
      <c r="BX25">
        <v>8370</v>
      </c>
      <c r="BY25">
        <v>8466</v>
      </c>
      <c r="BZ25">
        <v>8530</v>
      </c>
      <c r="CA25">
        <v>8582</v>
      </c>
      <c r="CB25">
        <v>8628</v>
      </c>
      <c r="CC25">
        <v>8666</v>
      </c>
      <c r="CD25">
        <v>8710</v>
      </c>
      <c r="CE25">
        <v>8742</v>
      </c>
      <c r="CF25">
        <v>8752</v>
      </c>
      <c r="CG25">
        <v>8754</v>
      </c>
      <c r="CH25">
        <v>8759</v>
      </c>
      <c r="CI25">
        <v>8760</v>
      </c>
      <c r="CJ25">
        <v>8760</v>
      </c>
      <c r="CK25">
        <v>8760</v>
      </c>
      <c r="CL25">
        <v>8760</v>
      </c>
      <c r="CM25">
        <v>8760</v>
      </c>
      <c r="CN25">
        <v>8760</v>
      </c>
      <c r="CO25">
        <v>8760</v>
      </c>
      <c r="CP25">
        <v>8760</v>
      </c>
      <c r="CQ25">
        <v>8760</v>
      </c>
      <c r="CR25">
        <v>8760</v>
      </c>
      <c r="CS25">
        <v>8760</v>
      </c>
      <c r="CT25">
        <v>8760</v>
      </c>
      <c r="CU25">
        <v>8760</v>
      </c>
      <c r="CV25">
        <v>8760</v>
      </c>
      <c r="CW25">
        <v>8760</v>
      </c>
      <c r="CX25">
        <v>8760</v>
      </c>
      <c r="CY25">
        <v>8760</v>
      </c>
      <c r="CZ25">
        <v>8760</v>
      </c>
      <c r="DA25">
        <v>8760</v>
      </c>
      <c r="DB25">
        <v>8760</v>
      </c>
    </row>
    <row r="26" spans="1:106" x14ac:dyDescent="0.25">
      <c r="B26" t="s">
        <v>51</v>
      </c>
      <c r="C26" t="s">
        <v>438</v>
      </c>
      <c r="D26" t="s">
        <v>461</v>
      </c>
      <c r="E26" t="s">
        <v>462</v>
      </c>
      <c r="F26">
        <v>102702</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2</v>
      </c>
      <c r="AL26">
        <v>5</v>
      </c>
      <c r="AM26">
        <v>17</v>
      </c>
      <c r="AN26">
        <v>30</v>
      </c>
      <c r="AO26">
        <v>40</v>
      </c>
      <c r="AP26">
        <v>65</v>
      </c>
      <c r="AQ26">
        <v>89</v>
      </c>
      <c r="AR26">
        <v>116</v>
      </c>
      <c r="AS26">
        <v>165</v>
      </c>
      <c r="AT26">
        <v>233</v>
      </c>
      <c r="AU26">
        <v>327</v>
      </c>
      <c r="AV26">
        <v>429</v>
      </c>
      <c r="AW26">
        <v>549</v>
      </c>
      <c r="AX26">
        <v>653</v>
      </c>
      <c r="AY26">
        <v>820</v>
      </c>
      <c r="AZ26">
        <v>1016</v>
      </c>
      <c r="BA26">
        <v>1282</v>
      </c>
      <c r="BB26">
        <v>1646</v>
      </c>
      <c r="BC26">
        <v>2043</v>
      </c>
      <c r="BD26">
        <v>2509</v>
      </c>
      <c r="BE26">
        <v>3004</v>
      </c>
      <c r="BF26">
        <v>3446</v>
      </c>
      <c r="BG26">
        <v>3871</v>
      </c>
      <c r="BH26">
        <v>4221</v>
      </c>
      <c r="BI26">
        <v>4594</v>
      </c>
      <c r="BJ26">
        <v>4902</v>
      </c>
      <c r="BK26">
        <v>5138</v>
      </c>
      <c r="BL26">
        <v>5397</v>
      </c>
      <c r="BM26">
        <v>5671</v>
      </c>
      <c r="BN26">
        <v>5946</v>
      </c>
      <c r="BO26">
        <v>6311</v>
      </c>
      <c r="BP26">
        <v>6625</v>
      </c>
      <c r="BQ26">
        <v>6955</v>
      </c>
      <c r="BR26">
        <v>7280</v>
      </c>
      <c r="BS26">
        <v>7581</v>
      </c>
      <c r="BT26">
        <v>7809</v>
      </c>
      <c r="BU26">
        <v>8009</v>
      </c>
      <c r="BV26">
        <v>8185</v>
      </c>
      <c r="BW26">
        <v>8348</v>
      </c>
      <c r="BX26">
        <v>8466</v>
      </c>
      <c r="BY26">
        <v>8545</v>
      </c>
      <c r="BZ26">
        <v>8612</v>
      </c>
      <c r="CA26">
        <v>8653</v>
      </c>
      <c r="CB26">
        <v>8684</v>
      </c>
      <c r="CC26">
        <v>8711</v>
      </c>
      <c r="CD26">
        <v>8723</v>
      </c>
      <c r="CE26">
        <v>8738</v>
      </c>
      <c r="CF26">
        <v>8750</v>
      </c>
      <c r="CG26">
        <v>8758</v>
      </c>
      <c r="CH26">
        <v>8760</v>
      </c>
      <c r="CI26">
        <v>8760</v>
      </c>
      <c r="CJ26">
        <v>8760</v>
      </c>
      <c r="CK26">
        <v>8760</v>
      </c>
      <c r="CL26">
        <v>8760</v>
      </c>
      <c r="CM26">
        <v>8760</v>
      </c>
      <c r="CN26">
        <v>8760</v>
      </c>
      <c r="CO26">
        <v>8760</v>
      </c>
      <c r="CP26">
        <v>8760</v>
      </c>
      <c r="CQ26">
        <v>8760</v>
      </c>
      <c r="CR26">
        <v>8760</v>
      </c>
      <c r="CS26">
        <v>8760</v>
      </c>
      <c r="CT26">
        <v>8760</v>
      </c>
      <c r="CU26">
        <v>8760</v>
      </c>
      <c r="CV26">
        <v>8760</v>
      </c>
      <c r="CW26">
        <v>8760</v>
      </c>
      <c r="CX26">
        <v>8760</v>
      </c>
      <c r="CY26">
        <v>8760</v>
      </c>
      <c r="CZ26">
        <v>8760</v>
      </c>
      <c r="DA26">
        <v>8760</v>
      </c>
      <c r="DB26">
        <v>8760</v>
      </c>
    </row>
    <row r="27" spans="1:106" x14ac:dyDescent="0.25">
      <c r="A27" s="13" t="s">
        <v>45</v>
      </c>
      <c r="B27" t="s">
        <v>53</v>
      </c>
      <c r="C27" t="s">
        <v>438</v>
      </c>
      <c r="D27" t="s">
        <v>463</v>
      </c>
      <c r="E27" t="s">
        <v>464</v>
      </c>
      <c r="F27">
        <v>102223</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1</v>
      </c>
      <c r="AN27">
        <v>2</v>
      </c>
      <c r="AO27">
        <v>15</v>
      </c>
      <c r="AP27">
        <v>30</v>
      </c>
      <c r="AQ27">
        <v>40</v>
      </c>
      <c r="AR27">
        <v>53</v>
      </c>
      <c r="AS27">
        <v>63</v>
      </c>
      <c r="AT27">
        <v>92</v>
      </c>
      <c r="AU27">
        <v>135</v>
      </c>
      <c r="AV27">
        <v>200</v>
      </c>
      <c r="AW27">
        <v>306</v>
      </c>
      <c r="AX27">
        <v>398</v>
      </c>
      <c r="AY27">
        <v>520</v>
      </c>
      <c r="AZ27">
        <v>670</v>
      </c>
      <c r="BA27">
        <v>870</v>
      </c>
      <c r="BB27">
        <v>1152</v>
      </c>
      <c r="BC27">
        <v>1473</v>
      </c>
      <c r="BD27">
        <v>1862</v>
      </c>
      <c r="BE27">
        <v>2294</v>
      </c>
      <c r="BF27">
        <v>2682</v>
      </c>
      <c r="BG27">
        <v>3043</v>
      </c>
      <c r="BH27">
        <v>3427</v>
      </c>
      <c r="BI27">
        <v>3900</v>
      </c>
      <c r="BJ27">
        <v>4348</v>
      </c>
      <c r="BK27">
        <v>4719</v>
      </c>
      <c r="BL27">
        <v>5121</v>
      </c>
      <c r="BM27">
        <v>5458</v>
      </c>
      <c r="BN27">
        <v>5797</v>
      </c>
      <c r="BO27">
        <v>6104</v>
      </c>
      <c r="BP27">
        <v>6444</v>
      </c>
      <c r="BQ27">
        <v>6736</v>
      </c>
      <c r="BR27">
        <v>7064</v>
      </c>
      <c r="BS27">
        <v>7369</v>
      </c>
      <c r="BT27">
        <v>7655</v>
      </c>
      <c r="BU27">
        <v>7909</v>
      </c>
      <c r="BV27">
        <v>8124</v>
      </c>
      <c r="BW27">
        <v>8318</v>
      </c>
      <c r="BX27">
        <v>8458</v>
      </c>
      <c r="BY27">
        <v>8544</v>
      </c>
      <c r="BZ27">
        <v>8617</v>
      </c>
      <c r="CA27">
        <v>8670</v>
      </c>
      <c r="CB27">
        <v>8708</v>
      </c>
      <c r="CC27">
        <v>8734</v>
      </c>
      <c r="CD27">
        <v>8746</v>
      </c>
      <c r="CE27">
        <v>8757</v>
      </c>
      <c r="CF27">
        <v>8760</v>
      </c>
      <c r="CG27">
        <v>8760</v>
      </c>
      <c r="CH27">
        <v>8760</v>
      </c>
      <c r="CI27">
        <v>8760</v>
      </c>
      <c r="CJ27">
        <v>8760</v>
      </c>
      <c r="CK27">
        <v>8760</v>
      </c>
      <c r="CL27">
        <v>8760</v>
      </c>
      <c r="CM27">
        <v>8760</v>
      </c>
      <c r="CN27">
        <v>8760</v>
      </c>
      <c r="CO27">
        <v>8760</v>
      </c>
      <c r="CP27">
        <v>8760</v>
      </c>
      <c r="CQ27">
        <v>8760</v>
      </c>
      <c r="CR27">
        <v>8760</v>
      </c>
      <c r="CS27">
        <v>8760</v>
      </c>
      <c r="CT27">
        <v>8760</v>
      </c>
      <c r="CU27">
        <v>8760</v>
      </c>
      <c r="CV27">
        <v>8760</v>
      </c>
      <c r="CW27">
        <v>8760</v>
      </c>
      <c r="CX27">
        <v>8760</v>
      </c>
      <c r="CY27">
        <v>8760</v>
      </c>
      <c r="CZ27">
        <v>8760</v>
      </c>
      <c r="DA27">
        <v>8760</v>
      </c>
      <c r="DB27">
        <v>8760</v>
      </c>
    </row>
    <row r="28" spans="1:106" x14ac:dyDescent="0.25">
      <c r="A28" s="13" t="s">
        <v>46</v>
      </c>
      <c r="B28" t="s">
        <v>54</v>
      </c>
      <c r="C28" t="s">
        <v>438</v>
      </c>
      <c r="D28" t="s">
        <v>465</v>
      </c>
      <c r="E28" t="s">
        <v>466</v>
      </c>
      <c r="F28">
        <v>102912</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12</v>
      </c>
      <c r="AF28">
        <v>18</v>
      </c>
      <c r="AG28">
        <v>31</v>
      </c>
      <c r="AH28">
        <v>75</v>
      </c>
      <c r="AI28">
        <v>114</v>
      </c>
      <c r="AJ28">
        <v>138</v>
      </c>
      <c r="AK28">
        <v>162</v>
      </c>
      <c r="AL28">
        <v>198</v>
      </c>
      <c r="AM28">
        <v>251</v>
      </c>
      <c r="AN28">
        <v>294</v>
      </c>
      <c r="AO28">
        <v>344</v>
      </c>
      <c r="AP28">
        <v>397</v>
      </c>
      <c r="AQ28">
        <v>451</v>
      </c>
      <c r="AR28">
        <v>533</v>
      </c>
      <c r="AS28">
        <v>604</v>
      </c>
      <c r="AT28">
        <v>709</v>
      </c>
      <c r="AU28">
        <v>838</v>
      </c>
      <c r="AV28">
        <v>993</v>
      </c>
      <c r="AW28">
        <v>1185</v>
      </c>
      <c r="AX28">
        <v>1380</v>
      </c>
      <c r="AY28">
        <v>1650</v>
      </c>
      <c r="AZ28">
        <v>1949</v>
      </c>
      <c r="BA28">
        <v>2273</v>
      </c>
      <c r="BB28">
        <v>2585</v>
      </c>
      <c r="BC28">
        <v>2973</v>
      </c>
      <c r="BD28">
        <v>3443</v>
      </c>
      <c r="BE28">
        <v>3913</v>
      </c>
      <c r="BF28">
        <v>4227</v>
      </c>
      <c r="BG28">
        <v>4547</v>
      </c>
      <c r="BH28">
        <v>4809</v>
      </c>
      <c r="BI28">
        <v>5085</v>
      </c>
      <c r="BJ28">
        <v>5351</v>
      </c>
      <c r="BK28">
        <v>5643</v>
      </c>
      <c r="BL28">
        <v>5906</v>
      </c>
      <c r="BM28">
        <v>6176</v>
      </c>
      <c r="BN28">
        <v>6466</v>
      </c>
      <c r="BO28">
        <v>6775</v>
      </c>
      <c r="BP28">
        <v>7068</v>
      </c>
      <c r="BQ28">
        <v>7335</v>
      </c>
      <c r="BR28">
        <v>7606</v>
      </c>
      <c r="BS28">
        <v>7833</v>
      </c>
      <c r="BT28">
        <v>8032</v>
      </c>
      <c r="BU28">
        <v>8189</v>
      </c>
      <c r="BV28">
        <v>8327</v>
      </c>
      <c r="BW28">
        <v>8428</v>
      </c>
      <c r="BX28">
        <v>8505</v>
      </c>
      <c r="BY28">
        <v>8573</v>
      </c>
      <c r="BZ28">
        <v>8643</v>
      </c>
      <c r="CA28">
        <v>8689</v>
      </c>
      <c r="CB28">
        <v>8722</v>
      </c>
      <c r="CC28">
        <v>8750</v>
      </c>
      <c r="CD28">
        <v>8759</v>
      </c>
      <c r="CE28">
        <v>8760</v>
      </c>
      <c r="CF28">
        <v>8760</v>
      </c>
      <c r="CG28">
        <v>8760</v>
      </c>
      <c r="CH28">
        <v>8760</v>
      </c>
      <c r="CI28">
        <v>8760</v>
      </c>
      <c r="CJ28">
        <v>8760</v>
      </c>
      <c r="CK28">
        <v>8760</v>
      </c>
      <c r="CL28">
        <v>8760</v>
      </c>
      <c r="CM28">
        <v>8760</v>
      </c>
      <c r="CN28">
        <v>8760</v>
      </c>
      <c r="CO28">
        <v>8760</v>
      </c>
      <c r="CP28">
        <v>8760</v>
      </c>
      <c r="CQ28">
        <v>8760</v>
      </c>
      <c r="CR28">
        <v>8760</v>
      </c>
      <c r="CS28">
        <v>8760</v>
      </c>
      <c r="CT28">
        <v>8760</v>
      </c>
      <c r="CU28">
        <v>8760</v>
      </c>
      <c r="CV28">
        <v>8760</v>
      </c>
      <c r="CW28">
        <v>8760</v>
      </c>
      <c r="CX28">
        <v>8760</v>
      </c>
      <c r="CY28">
        <v>8760</v>
      </c>
      <c r="CZ28">
        <v>8760</v>
      </c>
      <c r="DA28">
        <v>8760</v>
      </c>
      <c r="DB28">
        <v>8760</v>
      </c>
    </row>
    <row r="29" spans="1:106" x14ac:dyDescent="0.25">
      <c r="A29" s="13" t="s">
        <v>47</v>
      </c>
      <c r="B29" t="s">
        <v>55</v>
      </c>
      <c r="C29" t="s">
        <v>438</v>
      </c>
      <c r="D29" t="s">
        <v>467</v>
      </c>
      <c r="E29" t="s">
        <v>468</v>
      </c>
      <c r="F29">
        <v>102128</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6</v>
      </c>
      <c r="AQ29">
        <v>15</v>
      </c>
      <c r="AR29">
        <v>39</v>
      </c>
      <c r="AS29">
        <v>58</v>
      </c>
      <c r="AT29">
        <v>90</v>
      </c>
      <c r="AU29">
        <v>122</v>
      </c>
      <c r="AV29">
        <v>182</v>
      </c>
      <c r="AW29">
        <v>233</v>
      </c>
      <c r="AX29">
        <v>286</v>
      </c>
      <c r="AY29">
        <v>349</v>
      </c>
      <c r="AZ29">
        <v>431</v>
      </c>
      <c r="BA29">
        <v>571</v>
      </c>
      <c r="BB29">
        <v>739</v>
      </c>
      <c r="BC29">
        <v>934</v>
      </c>
      <c r="BD29">
        <v>1223</v>
      </c>
      <c r="BE29">
        <v>1586</v>
      </c>
      <c r="BF29">
        <v>1970</v>
      </c>
      <c r="BG29">
        <v>2394</v>
      </c>
      <c r="BH29">
        <v>2782</v>
      </c>
      <c r="BI29">
        <v>3240</v>
      </c>
      <c r="BJ29">
        <v>3643</v>
      </c>
      <c r="BK29">
        <v>4049</v>
      </c>
      <c r="BL29">
        <v>4371</v>
      </c>
      <c r="BM29">
        <v>4699</v>
      </c>
      <c r="BN29">
        <v>5127</v>
      </c>
      <c r="BO29">
        <v>5506</v>
      </c>
      <c r="BP29">
        <v>5876</v>
      </c>
      <c r="BQ29">
        <v>6309</v>
      </c>
      <c r="BR29">
        <v>6761</v>
      </c>
      <c r="BS29">
        <v>7173</v>
      </c>
      <c r="BT29">
        <v>7465</v>
      </c>
      <c r="BU29">
        <v>7757</v>
      </c>
      <c r="BV29">
        <v>7992</v>
      </c>
      <c r="BW29">
        <v>8160</v>
      </c>
      <c r="BX29">
        <v>8283</v>
      </c>
      <c r="BY29">
        <v>8407</v>
      </c>
      <c r="BZ29">
        <v>8497</v>
      </c>
      <c r="CA29">
        <v>8557</v>
      </c>
      <c r="CB29">
        <v>8611</v>
      </c>
      <c r="CC29">
        <v>8664</v>
      </c>
      <c r="CD29">
        <v>8708</v>
      </c>
      <c r="CE29">
        <v>8734</v>
      </c>
      <c r="CF29">
        <v>8743</v>
      </c>
      <c r="CG29">
        <v>8756</v>
      </c>
      <c r="CH29">
        <v>8760</v>
      </c>
      <c r="CI29">
        <v>8760</v>
      </c>
      <c r="CJ29">
        <v>8760</v>
      </c>
      <c r="CK29">
        <v>8760</v>
      </c>
      <c r="CL29">
        <v>8760</v>
      </c>
      <c r="CM29">
        <v>8760</v>
      </c>
      <c r="CN29">
        <v>8760</v>
      </c>
      <c r="CO29">
        <v>8760</v>
      </c>
      <c r="CP29">
        <v>8760</v>
      </c>
      <c r="CQ29">
        <v>8760</v>
      </c>
      <c r="CR29">
        <v>8760</v>
      </c>
      <c r="CS29">
        <v>8760</v>
      </c>
      <c r="CT29">
        <v>8760</v>
      </c>
      <c r="CU29">
        <v>8760</v>
      </c>
      <c r="CV29">
        <v>8760</v>
      </c>
      <c r="CW29">
        <v>8760</v>
      </c>
      <c r="CX29">
        <v>8760</v>
      </c>
      <c r="CY29">
        <v>8760</v>
      </c>
      <c r="CZ29">
        <v>8760</v>
      </c>
      <c r="DA29">
        <v>8760</v>
      </c>
      <c r="DB29">
        <v>8760</v>
      </c>
    </row>
    <row r="30" spans="1:106" x14ac:dyDescent="0.25">
      <c r="A30" s="13" t="s">
        <v>48</v>
      </c>
      <c r="B30" t="s">
        <v>56</v>
      </c>
      <c r="C30" t="s">
        <v>438</v>
      </c>
      <c r="D30" t="s">
        <v>469</v>
      </c>
      <c r="E30" t="s">
        <v>470</v>
      </c>
      <c r="F30">
        <v>102006</v>
      </c>
      <c r="G30">
        <v>0</v>
      </c>
      <c r="H30">
        <v>0</v>
      </c>
      <c r="I30">
        <v>0</v>
      </c>
      <c r="J30">
        <v>0</v>
      </c>
      <c r="K30">
        <v>0</v>
      </c>
      <c r="L30">
        <v>0</v>
      </c>
      <c r="M30">
        <v>0</v>
      </c>
      <c r="N30">
        <v>0</v>
      </c>
      <c r="O30">
        <v>0</v>
      </c>
      <c r="P30">
        <v>0</v>
      </c>
      <c r="Q30">
        <v>0</v>
      </c>
      <c r="R30">
        <v>4</v>
      </c>
      <c r="S30">
        <v>8</v>
      </c>
      <c r="T30">
        <v>11</v>
      </c>
      <c r="U30">
        <v>12</v>
      </c>
      <c r="V30">
        <v>15</v>
      </c>
      <c r="W30">
        <v>19</v>
      </c>
      <c r="X30">
        <v>27</v>
      </c>
      <c r="Y30">
        <v>31</v>
      </c>
      <c r="Z30">
        <v>45</v>
      </c>
      <c r="AA30">
        <v>61</v>
      </c>
      <c r="AB30">
        <v>76</v>
      </c>
      <c r="AC30">
        <v>105</v>
      </c>
      <c r="AD30">
        <v>140</v>
      </c>
      <c r="AE30">
        <v>166</v>
      </c>
      <c r="AF30">
        <v>204</v>
      </c>
      <c r="AG30">
        <v>268</v>
      </c>
      <c r="AH30">
        <v>319</v>
      </c>
      <c r="AI30">
        <v>363</v>
      </c>
      <c r="AJ30">
        <v>424</v>
      </c>
      <c r="AK30">
        <v>480</v>
      </c>
      <c r="AL30">
        <v>529</v>
      </c>
      <c r="AM30">
        <v>579</v>
      </c>
      <c r="AN30">
        <v>658</v>
      </c>
      <c r="AO30">
        <v>737</v>
      </c>
      <c r="AP30">
        <v>833</v>
      </c>
      <c r="AQ30">
        <v>943</v>
      </c>
      <c r="AR30">
        <v>1034</v>
      </c>
      <c r="AS30">
        <v>1135</v>
      </c>
      <c r="AT30">
        <v>1264</v>
      </c>
      <c r="AU30">
        <v>1392</v>
      </c>
      <c r="AV30">
        <v>1559</v>
      </c>
      <c r="AW30">
        <v>1740</v>
      </c>
      <c r="AX30">
        <v>1901</v>
      </c>
      <c r="AY30">
        <v>2146</v>
      </c>
      <c r="AZ30">
        <v>2378</v>
      </c>
      <c r="BA30">
        <v>2605</v>
      </c>
      <c r="BB30">
        <v>2853</v>
      </c>
      <c r="BC30">
        <v>3163</v>
      </c>
      <c r="BD30">
        <v>3525</v>
      </c>
      <c r="BE30">
        <v>3910</v>
      </c>
      <c r="BF30">
        <v>4227</v>
      </c>
      <c r="BG30">
        <v>4521</v>
      </c>
      <c r="BH30">
        <v>4750</v>
      </c>
      <c r="BI30">
        <v>5000</v>
      </c>
      <c r="BJ30">
        <v>5255</v>
      </c>
      <c r="BK30">
        <v>5521</v>
      </c>
      <c r="BL30">
        <v>5751</v>
      </c>
      <c r="BM30">
        <v>6011</v>
      </c>
      <c r="BN30">
        <v>6290</v>
      </c>
      <c r="BO30">
        <v>6548</v>
      </c>
      <c r="BP30">
        <v>6820</v>
      </c>
      <c r="BQ30">
        <v>7108</v>
      </c>
      <c r="BR30">
        <v>7443</v>
      </c>
      <c r="BS30">
        <v>7763</v>
      </c>
      <c r="BT30">
        <v>8057</v>
      </c>
      <c r="BU30">
        <v>8249</v>
      </c>
      <c r="BV30">
        <v>8383</v>
      </c>
      <c r="BW30">
        <v>8501</v>
      </c>
      <c r="BX30">
        <v>8603</v>
      </c>
      <c r="BY30">
        <v>8673</v>
      </c>
      <c r="BZ30">
        <v>8721</v>
      </c>
      <c r="CA30">
        <v>8741</v>
      </c>
      <c r="CB30">
        <v>8749</v>
      </c>
      <c r="CC30">
        <v>8756</v>
      </c>
      <c r="CD30">
        <v>8759</v>
      </c>
      <c r="CE30">
        <v>8760</v>
      </c>
      <c r="CF30">
        <v>8760</v>
      </c>
      <c r="CG30">
        <v>8760</v>
      </c>
      <c r="CH30">
        <v>8760</v>
      </c>
      <c r="CI30">
        <v>8760</v>
      </c>
      <c r="CJ30">
        <v>8760</v>
      </c>
      <c r="CK30">
        <v>8760</v>
      </c>
      <c r="CL30">
        <v>8760</v>
      </c>
      <c r="CM30">
        <v>8760</v>
      </c>
      <c r="CN30">
        <v>8760</v>
      </c>
      <c r="CO30">
        <v>8760</v>
      </c>
      <c r="CP30">
        <v>8760</v>
      </c>
      <c r="CQ30">
        <v>8760</v>
      </c>
      <c r="CR30">
        <v>8760</v>
      </c>
      <c r="CS30">
        <v>8760</v>
      </c>
      <c r="CT30">
        <v>8760</v>
      </c>
      <c r="CU30">
        <v>8760</v>
      </c>
      <c r="CV30">
        <v>8760</v>
      </c>
      <c r="CW30">
        <v>8760</v>
      </c>
      <c r="CX30">
        <v>8760</v>
      </c>
      <c r="CY30">
        <v>8760</v>
      </c>
      <c r="CZ30">
        <v>8760</v>
      </c>
      <c r="DA30">
        <v>8760</v>
      </c>
      <c r="DB30">
        <v>8760</v>
      </c>
    </row>
    <row r="31" spans="1:106" x14ac:dyDescent="0.25">
      <c r="A31" s="13" t="s">
        <v>49</v>
      </c>
      <c r="B31" t="s">
        <v>57</v>
      </c>
      <c r="C31" t="s">
        <v>438</v>
      </c>
      <c r="D31" t="s">
        <v>471</v>
      </c>
      <c r="E31" t="s">
        <v>472</v>
      </c>
      <c r="F31">
        <v>102243</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3</v>
      </c>
      <c r="AP31">
        <v>16</v>
      </c>
      <c r="AQ31">
        <v>48</v>
      </c>
      <c r="AR31">
        <v>66</v>
      </c>
      <c r="AS31">
        <v>77</v>
      </c>
      <c r="AT31">
        <v>107</v>
      </c>
      <c r="AU31">
        <v>146</v>
      </c>
      <c r="AV31">
        <v>193</v>
      </c>
      <c r="AW31">
        <v>265</v>
      </c>
      <c r="AX31">
        <v>331</v>
      </c>
      <c r="AY31">
        <v>425</v>
      </c>
      <c r="AZ31">
        <v>534</v>
      </c>
      <c r="BA31">
        <v>731</v>
      </c>
      <c r="BB31">
        <v>936</v>
      </c>
      <c r="BC31">
        <v>1230</v>
      </c>
      <c r="BD31">
        <v>1531</v>
      </c>
      <c r="BE31">
        <v>1865</v>
      </c>
      <c r="BF31">
        <v>2228</v>
      </c>
      <c r="BG31">
        <v>2619</v>
      </c>
      <c r="BH31">
        <v>3095</v>
      </c>
      <c r="BI31">
        <v>3572</v>
      </c>
      <c r="BJ31">
        <v>3990</v>
      </c>
      <c r="BK31">
        <v>4427</v>
      </c>
      <c r="BL31">
        <v>4827</v>
      </c>
      <c r="BM31">
        <v>5129</v>
      </c>
      <c r="BN31">
        <v>5467</v>
      </c>
      <c r="BO31">
        <v>5799</v>
      </c>
      <c r="BP31">
        <v>6161</v>
      </c>
      <c r="BQ31">
        <v>6542</v>
      </c>
      <c r="BR31">
        <v>6909</v>
      </c>
      <c r="BS31">
        <v>7253</v>
      </c>
      <c r="BT31">
        <v>7574</v>
      </c>
      <c r="BU31">
        <v>7854</v>
      </c>
      <c r="BV31">
        <v>8116</v>
      </c>
      <c r="BW31">
        <v>8313</v>
      </c>
      <c r="BX31">
        <v>8454</v>
      </c>
      <c r="BY31">
        <v>8534</v>
      </c>
      <c r="BZ31">
        <v>8589</v>
      </c>
      <c r="CA31">
        <v>8643</v>
      </c>
      <c r="CB31">
        <v>8675</v>
      </c>
      <c r="CC31">
        <v>8707</v>
      </c>
      <c r="CD31">
        <v>8728</v>
      </c>
      <c r="CE31">
        <v>8741</v>
      </c>
      <c r="CF31">
        <v>8758</v>
      </c>
      <c r="CG31">
        <v>8759</v>
      </c>
      <c r="CH31">
        <v>8760</v>
      </c>
      <c r="CI31">
        <v>8760</v>
      </c>
      <c r="CJ31">
        <v>8760</v>
      </c>
      <c r="CK31">
        <v>8760</v>
      </c>
      <c r="CL31">
        <v>8760</v>
      </c>
      <c r="CM31">
        <v>8760</v>
      </c>
      <c r="CN31">
        <v>8760</v>
      </c>
      <c r="CO31">
        <v>8760</v>
      </c>
      <c r="CP31">
        <v>8760</v>
      </c>
      <c r="CQ31">
        <v>8760</v>
      </c>
      <c r="CR31">
        <v>8760</v>
      </c>
      <c r="CS31">
        <v>8760</v>
      </c>
      <c r="CT31">
        <v>8760</v>
      </c>
      <c r="CU31">
        <v>8760</v>
      </c>
      <c r="CV31">
        <v>8760</v>
      </c>
      <c r="CW31">
        <v>8760</v>
      </c>
      <c r="CX31">
        <v>8760</v>
      </c>
      <c r="CY31">
        <v>8760</v>
      </c>
      <c r="CZ31">
        <v>8760</v>
      </c>
      <c r="DA31">
        <v>8760</v>
      </c>
      <c r="DB31">
        <v>8760</v>
      </c>
    </row>
    <row r="32" spans="1:106" x14ac:dyDescent="0.25">
      <c r="A32" s="13" t="s">
        <v>50</v>
      </c>
      <c r="B32" t="s">
        <v>58</v>
      </c>
      <c r="C32" t="s">
        <v>438</v>
      </c>
      <c r="D32" t="s">
        <v>473</v>
      </c>
      <c r="E32" t="s">
        <v>474</v>
      </c>
      <c r="F32">
        <v>102718</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7</v>
      </c>
      <c r="AI32">
        <v>14</v>
      </c>
      <c r="AJ32">
        <v>19</v>
      </c>
      <c r="AK32">
        <v>34</v>
      </c>
      <c r="AL32">
        <v>47</v>
      </c>
      <c r="AM32">
        <v>86</v>
      </c>
      <c r="AN32">
        <v>143</v>
      </c>
      <c r="AO32">
        <v>195</v>
      </c>
      <c r="AP32">
        <v>254</v>
      </c>
      <c r="AQ32">
        <v>325</v>
      </c>
      <c r="AR32">
        <v>418</v>
      </c>
      <c r="AS32">
        <v>507</v>
      </c>
      <c r="AT32">
        <v>581</v>
      </c>
      <c r="AU32">
        <v>665</v>
      </c>
      <c r="AV32">
        <v>767</v>
      </c>
      <c r="AW32">
        <v>897</v>
      </c>
      <c r="AX32">
        <v>1024</v>
      </c>
      <c r="AY32">
        <v>1161</v>
      </c>
      <c r="AZ32">
        <v>1356</v>
      </c>
      <c r="BA32">
        <v>1649</v>
      </c>
      <c r="BB32">
        <v>1926</v>
      </c>
      <c r="BC32">
        <v>2256</v>
      </c>
      <c r="BD32">
        <v>2656</v>
      </c>
      <c r="BE32">
        <v>3009</v>
      </c>
      <c r="BF32">
        <v>3400</v>
      </c>
      <c r="BG32">
        <v>3795</v>
      </c>
      <c r="BH32">
        <v>4148</v>
      </c>
      <c r="BI32">
        <v>4470</v>
      </c>
      <c r="BJ32">
        <v>4807</v>
      </c>
      <c r="BK32">
        <v>5102</v>
      </c>
      <c r="BL32">
        <v>5418</v>
      </c>
      <c r="BM32">
        <v>5744</v>
      </c>
      <c r="BN32">
        <v>6025</v>
      </c>
      <c r="BO32">
        <v>6331</v>
      </c>
      <c r="BP32">
        <v>6673</v>
      </c>
      <c r="BQ32">
        <v>7013</v>
      </c>
      <c r="BR32">
        <v>7310</v>
      </c>
      <c r="BS32">
        <v>7562</v>
      </c>
      <c r="BT32">
        <v>7820</v>
      </c>
      <c r="BU32">
        <v>8055</v>
      </c>
      <c r="BV32">
        <v>8212</v>
      </c>
      <c r="BW32">
        <v>8376</v>
      </c>
      <c r="BX32">
        <v>8471</v>
      </c>
      <c r="BY32">
        <v>8559</v>
      </c>
      <c r="BZ32">
        <v>8615</v>
      </c>
      <c r="CA32">
        <v>8654</v>
      </c>
      <c r="CB32">
        <v>8690</v>
      </c>
      <c r="CC32">
        <v>8722</v>
      </c>
      <c r="CD32">
        <v>8745</v>
      </c>
      <c r="CE32">
        <v>8754</v>
      </c>
      <c r="CF32">
        <v>8760</v>
      </c>
      <c r="CG32">
        <v>8760</v>
      </c>
      <c r="CH32">
        <v>8760</v>
      </c>
      <c r="CI32">
        <v>8760</v>
      </c>
      <c r="CJ32">
        <v>8760</v>
      </c>
      <c r="CK32">
        <v>8760</v>
      </c>
      <c r="CL32">
        <v>8760</v>
      </c>
      <c r="CM32">
        <v>8760</v>
      </c>
      <c r="CN32">
        <v>8760</v>
      </c>
      <c r="CO32">
        <v>8760</v>
      </c>
      <c r="CP32">
        <v>8760</v>
      </c>
      <c r="CQ32">
        <v>8760</v>
      </c>
      <c r="CR32">
        <v>8760</v>
      </c>
      <c r="CS32">
        <v>8760</v>
      </c>
      <c r="CT32">
        <v>8760</v>
      </c>
      <c r="CU32">
        <v>8760</v>
      </c>
      <c r="CV32">
        <v>8760</v>
      </c>
      <c r="CW32">
        <v>8760</v>
      </c>
      <c r="CX32">
        <v>8760</v>
      </c>
      <c r="CY32">
        <v>8760</v>
      </c>
      <c r="CZ32">
        <v>8760</v>
      </c>
      <c r="DA32">
        <v>8760</v>
      </c>
      <c r="DB32">
        <v>8760</v>
      </c>
    </row>
    <row r="33" spans="1:106" x14ac:dyDescent="0.25">
      <c r="A33" s="13" t="s">
        <v>51</v>
      </c>
      <c r="B33" t="s">
        <v>353</v>
      </c>
    </row>
    <row r="34" spans="1:106" x14ac:dyDescent="0.25">
      <c r="A34" s="13" t="s">
        <v>52</v>
      </c>
      <c r="B34" t="s">
        <v>60</v>
      </c>
      <c r="C34" t="s">
        <v>438</v>
      </c>
      <c r="D34" t="s">
        <v>475</v>
      </c>
      <c r="E34" t="s">
        <v>476</v>
      </c>
      <c r="F34">
        <v>102308</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2</v>
      </c>
      <c r="AS34">
        <v>15</v>
      </c>
      <c r="AT34">
        <v>37</v>
      </c>
      <c r="AU34">
        <v>70</v>
      </c>
      <c r="AV34">
        <v>130</v>
      </c>
      <c r="AW34">
        <v>210</v>
      </c>
      <c r="AX34">
        <v>279</v>
      </c>
      <c r="AY34">
        <v>385</v>
      </c>
      <c r="AZ34">
        <v>506</v>
      </c>
      <c r="BA34">
        <v>639</v>
      </c>
      <c r="BB34">
        <v>798</v>
      </c>
      <c r="BC34">
        <v>990</v>
      </c>
      <c r="BD34">
        <v>1226</v>
      </c>
      <c r="BE34">
        <v>1653</v>
      </c>
      <c r="BF34">
        <v>2125</v>
      </c>
      <c r="BG34">
        <v>2621</v>
      </c>
      <c r="BH34">
        <v>3062</v>
      </c>
      <c r="BI34">
        <v>3507</v>
      </c>
      <c r="BJ34">
        <v>3924</v>
      </c>
      <c r="BK34">
        <v>4265</v>
      </c>
      <c r="BL34">
        <v>4597</v>
      </c>
      <c r="BM34">
        <v>4937</v>
      </c>
      <c r="BN34">
        <v>5271</v>
      </c>
      <c r="BO34">
        <v>5603</v>
      </c>
      <c r="BP34">
        <v>5940</v>
      </c>
      <c r="BQ34">
        <v>6317</v>
      </c>
      <c r="BR34">
        <v>6661</v>
      </c>
      <c r="BS34">
        <v>7010</v>
      </c>
      <c r="BT34">
        <v>7338</v>
      </c>
      <c r="BU34">
        <v>7635</v>
      </c>
      <c r="BV34">
        <v>7914</v>
      </c>
      <c r="BW34">
        <v>8142</v>
      </c>
      <c r="BX34">
        <v>8304</v>
      </c>
      <c r="BY34">
        <v>8430</v>
      </c>
      <c r="BZ34">
        <v>8530</v>
      </c>
      <c r="CA34">
        <v>8610</v>
      </c>
      <c r="CB34">
        <v>8667</v>
      </c>
      <c r="CC34">
        <v>8702</v>
      </c>
      <c r="CD34">
        <v>8724</v>
      </c>
      <c r="CE34">
        <v>8741</v>
      </c>
      <c r="CF34">
        <v>8754</v>
      </c>
      <c r="CG34">
        <v>8758</v>
      </c>
      <c r="CH34">
        <v>8759</v>
      </c>
      <c r="CI34">
        <v>8760</v>
      </c>
      <c r="CJ34">
        <v>8760</v>
      </c>
      <c r="CK34">
        <v>8760</v>
      </c>
      <c r="CL34">
        <v>8760</v>
      </c>
      <c r="CM34">
        <v>8760</v>
      </c>
      <c r="CN34">
        <v>8760</v>
      </c>
      <c r="CO34">
        <v>8760</v>
      </c>
      <c r="CP34">
        <v>8760</v>
      </c>
      <c r="CQ34">
        <v>8760</v>
      </c>
      <c r="CR34">
        <v>8760</v>
      </c>
      <c r="CS34">
        <v>8760</v>
      </c>
      <c r="CT34">
        <v>8760</v>
      </c>
      <c r="CU34">
        <v>8760</v>
      </c>
      <c r="CV34">
        <v>8760</v>
      </c>
      <c r="CW34">
        <v>8760</v>
      </c>
      <c r="CX34">
        <v>8760</v>
      </c>
      <c r="CY34">
        <v>8760</v>
      </c>
      <c r="CZ34">
        <v>8760</v>
      </c>
      <c r="DA34">
        <v>8760</v>
      </c>
      <c r="DB34">
        <v>8760</v>
      </c>
    </row>
    <row r="35" spans="1:106" x14ac:dyDescent="0.25">
      <c r="A35" s="13" t="s">
        <v>53</v>
      </c>
      <c r="B35" t="s">
        <v>61</v>
      </c>
      <c r="C35" t="s">
        <v>438</v>
      </c>
      <c r="D35" t="s">
        <v>477</v>
      </c>
      <c r="E35" t="s">
        <v>478</v>
      </c>
      <c r="F35">
        <v>102707</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4</v>
      </c>
      <c r="AD35">
        <v>9</v>
      </c>
      <c r="AE35">
        <v>14</v>
      </c>
      <c r="AF35">
        <v>16</v>
      </c>
      <c r="AG35">
        <v>18</v>
      </c>
      <c r="AH35">
        <v>20</v>
      </c>
      <c r="AI35">
        <v>30</v>
      </c>
      <c r="AJ35">
        <v>48</v>
      </c>
      <c r="AK35">
        <v>64</v>
      </c>
      <c r="AL35">
        <v>75</v>
      </c>
      <c r="AM35">
        <v>90</v>
      </c>
      <c r="AN35">
        <v>116</v>
      </c>
      <c r="AO35">
        <v>145</v>
      </c>
      <c r="AP35">
        <v>188</v>
      </c>
      <c r="AQ35">
        <v>252</v>
      </c>
      <c r="AR35">
        <v>302</v>
      </c>
      <c r="AS35">
        <v>373</v>
      </c>
      <c r="AT35">
        <v>458</v>
      </c>
      <c r="AU35">
        <v>564</v>
      </c>
      <c r="AV35">
        <v>654</v>
      </c>
      <c r="AW35">
        <v>768</v>
      </c>
      <c r="AX35">
        <v>889</v>
      </c>
      <c r="AY35">
        <v>1041</v>
      </c>
      <c r="AZ35">
        <v>1216</v>
      </c>
      <c r="BA35">
        <v>1474</v>
      </c>
      <c r="BB35">
        <v>1754</v>
      </c>
      <c r="BC35">
        <v>2039</v>
      </c>
      <c r="BD35">
        <v>2357</v>
      </c>
      <c r="BE35">
        <v>2659</v>
      </c>
      <c r="BF35">
        <v>2998</v>
      </c>
      <c r="BG35">
        <v>3321</v>
      </c>
      <c r="BH35">
        <v>3644</v>
      </c>
      <c r="BI35">
        <v>3954</v>
      </c>
      <c r="BJ35">
        <v>4270</v>
      </c>
      <c r="BK35">
        <v>4589</v>
      </c>
      <c r="BL35">
        <v>4937</v>
      </c>
      <c r="BM35">
        <v>5308</v>
      </c>
      <c r="BN35">
        <v>5690</v>
      </c>
      <c r="BO35">
        <v>6107</v>
      </c>
      <c r="BP35">
        <v>6498</v>
      </c>
      <c r="BQ35">
        <v>6875</v>
      </c>
      <c r="BR35">
        <v>7213</v>
      </c>
      <c r="BS35">
        <v>7498</v>
      </c>
      <c r="BT35">
        <v>7764</v>
      </c>
      <c r="BU35">
        <v>7976</v>
      </c>
      <c r="BV35">
        <v>8177</v>
      </c>
      <c r="BW35">
        <v>8331</v>
      </c>
      <c r="BX35">
        <v>8449</v>
      </c>
      <c r="BY35">
        <v>8558</v>
      </c>
      <c r="BZ35">
        <v>8619</v>
      </c>
      <c r="CA35">
        <v>8657</v>
      </c>
      <c r="CB35">
        <v>8681</v>
      </c>
      <c r="CC35">
        <v>8697</v>
      </c>
      <c r="CD35">
        <v>8712</v>
      </c>
      <c r="CE35">
        <v>8734</v>
      </c>
      <c r="CF35">
        <v>8747</v>
      </c>
      <c r="CG35">
        <v>8760</v>
      </c>
      <c r="CH35">
        <v>8760</v>
      </c>
      <c r="CI35">
        <v>8760</v>
      </c>
      <c r="CJ35">
        <v>8760</v>
      </c>
      <c r="CK35">
        <v>8760</v>
      </c>
      <c r="CL35">
        <v>8760</v>
      </c>
      <c r="CM35">
        <v>8760</v>
      </c>
      <c r="CN35">
        <v>8760</v>
      </c>
      <c r="CO35">
        <v>8760</v>
      </c>
      <c r="CP35">
        <v>8760</v>
      </c>
      <c r="CQ35">
        <v>8760</v>
      </c>
      <c r="CR35">
        <v>8760</v>
      </c>
      <c r="CS35">
        <v>8760</v>
      </c>
      <c r="CT35">
        <v>8760</v>
      </c>
      <c r="CU35">
        <v>8760</v>
      </c>
      <c r="CV35">
        <v>8760</v>
      </c>
      <c r="CW35">
        <v>8760</v>
      </c>
      <c r="CX35">
        <v>8760</v>
      </c>
      <c r="CY35">
        <v>8760</v>
      </c>
      <c r="CZ35">
        <v>8760</v>
      </c>
      <c r="DA35">
        <v>8760</v>
      </c>
      <c r="DB35">
        <v>8760</v>
      </c>
    </row>
    <row r="36" spans="1:106" x14ac:dyDescent="0.25">
      <c r="A36" s="13" t="s">
        <v>54</v>
      </c>
      <c r="B36" t="s">
        <v>59</v>
      </c>
      <c r="C36" t="s">
        <v>438</v>
      </c>
      <c r="D36" t="s">
        <v>479</v>
      </c>
      <c r="E36" t="s">
        <v>480</v>
      </c>
      <c r="F36">
        <v>102206</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1</v>
      </c>
      <c r="AN36">
        <v>4</v>
      </c>
      <c r="AO36">
        <v>10</v>
      </c>
      <c r="AP36">
        <v>23</v>
      </c>
      <c r="AQ36">
        <v>36</v>
      </c>
      <c r="AR36">
        <v>55</v>
      </c>
      <c r="AS36">
        <v>73</v>
      </c>
      <c r="AT36">
        <v>94</v>
      </c>
      <c r="AU36">
        <v>139</v>
      </c>
      <c r="AV36">
        <v>192</v>
      </c>
      <c r="AW36">
        <v>268</v>
      </c>
      <c r="AX36">
        <v>368</v>
      </c>
      <c r="AY36">
        <v>513</v>
      </c>
      <c r="AZ36">
        <v>679</v>
      </c>
      <c r="BA36">
        <v>872</v>
      </c>
      <c r="BB36">
        <v>1093</v>
      </c>
      <c r="BC36">
        <v>1363</v>
      </c>
      <c r="BD36">
        <v>1657</v>
      </c>
      <c r="BE36">
        <v>2034</v>
      </c>
      <c r="BF36">
        <v>2478</v>
      </c>
      <c r="BG36">
        <v>2991</v>
      </c>
      <c r="BH36">
        <v>3397</v>
      </c>
      <c r="BI36">
        <v>3776</v>
      </c>
      <c r="BJ36">
        <v>4181</v>
      </c>
      <c r="BK36">
        <v>4584</v>
      </c>
      <c r="BL36">
        <v>4954</v>
      </c>
      <c r="BM36">
        <v>5286</v>
      </c>
      <c r="BN36">
        <v>5678</v>
      </c>
      <c r="BO36">
        <v>6052</v>
      </c>
      <c r="BP36">
        <v>6479</v>
      </c>
      <c r="BQ36">
        <v>6820</v>
      </c>
      <c r="BR36">
        <v>7196</v>
      </c>
      <c r="BS36">
        <v>7544</v>
      </c>
      <c r="BT36">
        <v>7791</v>
      </c>
      <c r="BU36">
        <v>8046</v>
      </c>
      <c r="BV36">
        <v>8243</v>
      </c>
      <c r="BW36">
        <v>8381</v>
      </c>
      <c r="BX36">
        <v>8470</v>
      </c>
      <c r="BY36">
        <v>8533</v>
      </c>
      <c r="BZ36">
        <v>8595</v>
      </c>
      <c r="CA36">
        <v>8644</v>
      </c>
      <c r="CB36">
        <v>8682</v>
      </c>
      <c r="CC36">
        <v>8718</v>
      </c>
      <c r="CD36">
        <v>8741</v>
      </c>
      <c r="CE36">
        <v>8756</v>
      </c>
      <c r="CF36">
        <v>8760</v>
      </c>
      <c r="CG36">
        <v>8760</v>
      </c>
      <c r="CH36">
        <v>8760</v>
      </c>
      <c r="CI36">
        <v>8760</v>
      </c>
      <c r="CJ36">
        <v>8760</v>
      </c>
      <c r="CK36">
        <v>8760</v>
      </c>
      <c r="CL36">
        <v>8760</v>
      </c>
      <c r="CM36">
        <v>8760</v>
      </c>
      <c r="CN36">
        <v>8760</v>
      </c>
      <c r="CO36">
        <v>8760</v>
      </c>
      <c r="CP36">
        <v>8760</v>
      </c>
      <c r="CQ36">
        <v>8760</v>
      </c>
      <c r="CR36">
        <v>8760</v>
      </c>
      <c r="CS36">
        <v>8760</v>
      </c>
      <c r="CT36">
        <v>8760</v>
      </c>
      <c r="CU36">
        <v>8760</v>
      </c>
      <c r="CV36">
        <v>8760</v>
      </c>
      <c r="CW36">
        <v>8760</v>
      </c>
      <c r="CX36">
        <v>8760</v>
      </c>
      <c r="CY36">
        <v>8760</v>
      </c>
      <c r="CZ36">
        <v>8760</v>
      </c>
      <c r="DA36">
        <v>8760</v>
      </c>
      <c r="DB36">
        <v>8760</v>
      </c>
    </row>
    <row r="37" spans="1:106" x14ac:dyDescent="0.25">
      <c r="A37" s="13" t="s">
        <v>55</v>
      </c>
      <c r="B37" t="s">
        <v>355</v>
      </c>
      <c r="C37" t="s">
        <v>438</v>
      </c>
      <c r="D37" t="s">
        <v>481</v>
      </c>
      <c r="E37" t="s">
        <v>482</v>
      </c>
      <c r="F37">
        <v>102623</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1</v>
      </c>
      <c r="AQ37">
        <v>12</v>
      </c>
      <c r="AR37">
        <v>19</v>
      </c>
      <c r="AS37">
        <v>47</v>
      </c>
      <c r="AT37">
        <v>86</v>
      </c>
      <c r="AU37">
        <v>129</v>
      </c>
      <c r="AV37">
        <v>178</v>
      </c>
      <c r="AW37">
        <v>263</v>
      </c>
      <c r="AX37">
        <v>378</v>
      </c>
      <c r="AY37">
        <v>506</v>
      </c>
      <c r="AZ37">
        <v>704</v>
      </c>
      <c r="BA37">
        <v>860</v>
      </c>
      <c r="BB37">
        <v>1060</v>
      </c>
      <c r="BC37">
        <v>1299</v>
      </c>
      <c r="BD37">
        <v>1609</v>
      </c>
      <c r="BE37">
        <v>2023</v>
      </c>
      <c r="BF37">
        <v>2480</v>
      </c>
      <c r="BG37">
        <v>2970</v>
      </c>
      <c r="BH37">
        <v>3375</v>
      </c>
      <c r="BI37">
        <v>3828</v>
      </c>
      <c r="BJ37">
        <v>4252</v>
      </c>
      <c r="BK37">
        <v>4605</v>
      </c>
      <c r="BL37">
        <v>4884</v>
      </c>
      <c r="BM37">
        <v>5155</v>
      </c>
      <c r="BN37">
        <v>5478</v>
      </c>
      <c r="BO37">
        <v>5844</v>
      </c>
      <c r="BP37">
        <v>6255</v>
      </c>
      <c r="BQ37">
        <v>6617</v>
      </c>
      <c r="BR37">
        <v>6988</v>
      </c>
      <c r="BS37">
        <v>7314</v>
      </c>
      <c r="BT37">
        <v>7657</v>
      </c>
      <c r="BU37">
        <v>7940</v>
      </c>
      <c r="BV37">
        <v>8165</v>
      </c>
      <c r="BW37">
        <v>8324</v>
      </c>
      <c r="BX37">
        <v>8463</v>
      </c>
      <c r="BY37">
        <v>8562</v>
      </c>
      <c r="BZ37">
        <v>8644</v>
      </c>
      <c r="CA37">
        <v>8701</v>
      </c>
      <c r="CB37">
        <v>8733</v>
      </c>
      <c r="CC37">
        <v>8756</v>
      </c>
      <c r="CD37">
        <v>8760</v>
      </c>
      <c r="CE37">
        <v>8760</v>
      </c>
      <c r="CF37">
        <v>8760</v>
      </c>
      <c r="CG37">
        <v>8760</v>
      </c>
      <c r="CH37">
        <v>8760</v>
      </c>
      <c r="CI37">
        <v>8760</v>
      </c>
      <c r="CJ37">
        <v>8760</v>
      </c>
      <c r="CK37">
        <v>8760</v>
      </c>
      <c r="CL37">
        <v>8760</v>
      </c>
      <c r="CM37">
        <v>8760</v>
      </c>
      <c r="CN37">
        <v>8760</v>
      </c>
      <c r="CO37">
        <v>8760</v>
      </c>
      <c r="CP37">
        <v>8760</v>
      </c>
      <c r="CQ37">
        <v>8760</v>
      </c>
      <c r="CR37">
        <v>8760</v>
      </c>
      <c r="CS37">
        <v>8760</v>
      </c>
      <c r="CT37">
        <v>8760</v>
      </c>
      <c r="CU37">
        <v>8760</v>
      </c>
      <c r="CV37">
        <v>8760</v>
      </c>
      <c r="CW37">
        <v>8760</v>
      </c>
      <c r="CX37">
        <v>8760</v>
      </c>
      <c r="CY37">
        <v>8760</v>
      </c>
      <c r="CZ37">
        <v>8760</v>
      </c>
      <c r="DA37">
        <v>8760</v>
      </c>
      <c r="DB37">
        <v>8760</v>
      </c>
    </row>
    <row r="38" spans="1:106" x14ac:dyDescent="0.25">
      <c r="A38" s="13" t="s">
        <v>56</v>
      </c>
      <c r="B38" t="s">
        <v>64</v>
      </c>
      <c r="C38" t="s">
        <v>438</v>
      </c>
      <c r="D38" t="s">
        <v>483</v>
      </c>
      <c r="E38" t="s">
        <v>484</v>
      </c>
      <c r="F38">
        <v>102130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1</v>
      </c>
      <c r="AO38">
        <v>5</v>
      </c>
      <c r="AP38">
        <v>8</v>
      </c>
      <c r="AQ38">
        <v>22</v>
      </c>
      <c r="AR38">
        <v>31</v>
      </c>
      <c r="AS38">
        <v>37</v>
      </c>
      <c r="AT38">
        <v>53</v>
      </c>
      <c r="AU38">
        <v>78</v>
      </c>
      <c r="AV38">
        <v>106</v>
      </c>
      <c r="AW38">
        <v>148</v>
      </c>
      <c r="AX38">
        <v>194</v>
      </c>
      <c r="AY38">
        <v>255</v>
      </c>
      <c r="AZ38">
        <v>361</v>
      </c>
      <c r="BA38">
        <v>548</v>
      </c>
      <c r="BB38">
        <v>780</v>
      </c>
      <c r="BC38">
        <v>995</v>
      </c>
      <c r="BD38">
        <v>1228</v>
      </c>
      <c r="BE38">
        <v>1563</v>
      </c>
      <c r="BF38">
        <v>1988</v>
      </c>
      <c r="BG38">
        <v>2388</v>
      </c>
      <c r="BH38">
        <v>2961</v>
      </c>
      <c r="BI38">
        <v>3429</v>
      </c>
      <c r="BJ38">
        <v>3843</v>
      </c>
      <c r="BK38">
        <v>4246</v>
      </c>
      <c r="BL38">
        <v>4581</v>
      </c>
      <c r="BM38">
        <v>4893</v>
      </c>
      <c r="BN38">
        <v>5252</v>
      </c>
      <c r="BO38">
        <v>5605</v>
      </c>
      <c r="BP38">
        <v>6035</v>
      </c>
      <c r="BQ38">
        <v>6463</v>
      </c>
      <c r="BR38">
        <v>6808</v>
      </c>
      <c r="BS38">
        <v>7146</v>
      </c>
      <c r="BT38">
        <v>7481</v>
      </c>
      <c r="BU38">
        <v>7768</v>
      </c>
      <c r="BV38">
        <v>7989</v>
      </c>
      <c r="BW38">
        <v>8165</v>
      </c>
      <c r="BX38">
        <v>8319</v>
      </c>
      <c r="BY38">
        <v>8413</v>
      </c>
      <c r="BZ38">
        <v>8484</v>
      </c>
      <c r="CA38">
        <v>8578</v>
      </c>
      <c r="CB38">
        <v>8622</v>
      </c>
      <c r="CC38">
        <v>8673</v>
      </c>
      <c r="CD38">
        <v>8702</v>
      </c>
      <c r="CE38">
        <v>8721</v>
      </c>
      <c r="CF38">
        <v>8735</v>
      </c>
      <c r="CG38">
        <v>8748</v>
      </c>
      <c r="CH38">
        <v>8758</v>
      </c>
      <c r="CI38">
        <v>8760</v>
      </c>
      <c r="CJ38">
        <v>8760</v>
      </c>
      <c r="CK38">
        <v>8760</v>
      </c>
      <c r="CL38">
        <v>8760</v>
      </c>
      <c r="CM38">
        <v>8760</v>
      </c>
      <c r="CN38">
        <v>8760</v>
      </c>
      <c r="CO38">
        <v>8760</v>
      </c>
      <c r="CP38">
        <v>8760</v>
      </c>
      <c r="CQ38">
        <v>8760</v>
      </c>
      <c r="CR38">
        <v>8760</v>
      </c>
      <c r="CS38">
        <v>8760</v>
      </c>
      <c r="CT38">
        <v>8760</v>
      </c>
      <c r="CU38">
        <v>8760</v>
      </c>
      <c r="CV38">
        <v>8760</v>
      </c>
      <c r="CW38">
        <v>8760</v>
      </c>
      <c r="CX38">
        <v>8760</v>
      </c>
      <c r="CY38">
        <v>8760</v>
      </c>
      <c r="CZ38">
        <v>8760</v>
      </c>
      <c r="DA38">
        <v>8760</v>
      </c>
      <c r="DB38">
        <v>8760</v>
      </c>
    </row>
    <row r="39" spans="1:106" x14ac:dyDescent="0.25">
      <c r="A39" s="13" t="s">
        <v>57</v>
      </c>
      <c r="B39" t="s">
        <v>65</v>
      </c>
      <c r="C39" t="s">
        <v>438</v>
      </c>
      <c r="D39" t="s">
        <v>485</v>
      </c>
      <c r="E39" t="s">
        <v>486</v>
      </c>
      <c r="F39">
        <v>102114</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2</v>
      </c>
      <c r="AT39">
        <v>9</v>
      </c>
      <c r="AU39">
        <v>23</v>
      </c>
      <c r="AV39">
        <v>47</v>
      </c>
      <c r="AW39">
        <v>69</v>
      </c>
      <c r="AX39">
        <v>118</v>
      </c>
      <c r="AY39">
        <v>178</v>
      </c>
      <c r="AZ39">
        <v>264</v>
      </c>
      <c r="BA39">
        <v>381</v>
      </c>
      <c r="BB39">
        <v>597</v>
      </c>
      <c r="BC39">
        <v>849</v>
      </c>
      <c r="BD39">
        <v>1146</v>
      </c>
      <c r="BE39">
        <v>1524</v>
      </c>
      <c r="BF39">
        <v>1885</v>
      </c>
      <c r="BG39">
        <v>2351</v>
      </c>
      <c r="BH39">
        <v>2869</v>
      </c>
      <c r="BI39">
        <v>3472</v>
      </c>
      <c r="BJ39">
        <v>3825</v>
      </c>
      <c r="BK39">
        <v>4145</v>
      </c>
      <c r="BL39">
        <v>4466</v>
      </c>
      <c r="BM39">
        <v>4756</v>
      </c>
      <c r="BN39">
        <v>5017</v>
      </c>
      <c r="BO39">
        <v>5358</v>
      </c>
      <c r="BP39">
        <v>5801</v>
      </c>
      <c r="BQ39">
        <v>6237</v>
      </c>
      <c r="BR39">
        <v>6677</v>
      </c>
      <c r="BS39">
        <v>7034</v>
      </c>
      <c r="BT39">
        <v>7380</v>
      </c>
      <c r="BU39">
        <v>7674</v>
      </c>
      <c r="BV39">
        <v>7915</v>
      </c>
      <c r="BW39">
        <v>8121</v>
      </c>
      <c r="BX39">
        <v>8303</v>
      </c>
      <c r="BY39">
        <v>8461</v>
      </c>
      <c r="BZ39">
        <v>8576</v>
      </c>
      <c r="CA39">
        <v>8655</v>
      </c>
      <c r="CB39">
        <v>8702</v>
      </c>
      <c r="CC39">
        <v>8733</v>
      </c>
      <c r="CD39">
        <v>8750</v>
      </c>
      <c r="CE39">
        <v>8757</v>
      </c>
      <c r="CF39">
        <v>8759</v>
      </c>
      <c r="CG39">
        <v>8760</v>
      </c>
      <c r="CH39">
        <v>8760</v>
      </c>
      <c r="CI39">
        <v>8760</v>
      </c>
      <c r="CJ39">
        <v>8760</v>
      </c>
      <c r="CK39">
        <v>8760</v>
      </c>
      <c r="CL39">
        <v>8760</v>
      </c>
      <c r="CM39">
        <v>8760</v>
      </c>
      <c r="CN39">
        <v>8760</v>
      </c>
      <c r="CO39">
        <v>8760</v>
      </c>
      <c r="CP39">
        <v>8760</v>
      </c>
      <c r="CQ39">
        <v>8760</v>
      </c>
      <c r="CR39">
        <v>8760</v>
      </c>
      <c r="CS39">
        <v>8760</v>
      </c>
      <c r="CT39">
        <v>8760</v>
      </c>
      <c r="CU39">
        <v>8760</v>
      </c>
      <c r="CV39">
        <v>8760</v>
      </c>
      <c r="CW39">
        <v>8760</v>
      </c>
      <c r="CX39">
        <v>8760</v>
      </c>
      <c r="CY39">
        <v>8760</v>
      </c>
      <c r="CZ39">
        <v>8760</v>
      </c>
      <c r="DA39">
        <v>8760</v>
      </c>
      <c r="DB39">
        <v>8760</v>
      </c>
    </row>
    <row r="40" spans="1:106" x14ac:dyDescent="0.25">
      <c r="A40" s="13" t="s">
        <v>58</v>
      </c>
      <c r="B40" t="s">
        <v>356</v>
      </c>
    </row>
    <row r="41" spans="1:106" x14ac:dyDescent="0.25">
      <c r="A41" s="13" t="s">
        <v>59</v>
      </c>
      <c r="B41" t="s">
        <v>63</v>
      </c>
      <c r="C41" t="s">
        <v>438</v>
      </c>
      <c r="D41" t="s">
        <v>487</v>
      </c>
      <c r="E41" t="s">
        <v>488</v>
      </c>
      <c r="F41">
        <v>102803</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1</v>
      </c>
      <c r="AD41">
        <v>5</v>
      </c>
      <c r="AE41">
        <v>20</v>
      </c>
      <c r="AF41">
        <v>31</v>
      </c>
      <c r="AG41">
        <v>43</v>
      </c>
      <c r="AH41">
        <v>54</v>
      </c>
      <c r="AI41">
        <v>64</v>
      </c>
      <c r="AJ41">
        <v>78</v>
      </c>
      <c r="AK41">
        <v>101</v>
      </c>
      <c r="AL41">
        <v>123</v>
      </c>
      <c r="AM41">
        <v>139</v>
      </c>
      <c r="AN41">
        <v>170</v>
      </c>
      <c r="AO41">
        <v>220</v>
      </c>
      <c r="AP41">
        <v>283</v>
      </c>
      <c r="AQ41">
        <v>367</v>
      </c>
      <c r="AR41">
        <v>473</v>
      </c>
      <c r="AS41">
        <v>589</v>
      </c>
      <c r="AT41">
        <v>730</v>
      </c>
      <c r="AU41">
        <v>865</v>
      </c>
      <c r="AV41">
        <v>1009</v>
      </c>
      <c r="AW41">
        <v>1214</v>
      </c>
      <c r="AX41">
        <v>1501</v>
      </c>
      <c r="AY41">
        <v>1767</v>
      </c>
      <c r="AZ41">
        <v>2009</v>
      </c>
      <c r="BA41">
        <v>2273</v>
      </c>
      <c r="BB41">
        <v>2600</v>
      </c>
      <c r="BC41">
        <v>2963</v>
      </c>
      <c r="BD41">
        <v>3323</v>
      </c>
      <c r="BE41">
        <v>3697</v>
      </c>
      <c r="BF41">
        <v>4074</v>
      </c>
      <c r="BG41">
        <v>4398</v>
      </c>
      <c r="BH41">
        <v>4706</v>
      </c>
      <c r="BI41">
        <v>4982</v>
      </c>
      <c r="BJ41">
        <v>5274</v>
      </c>
      <c r="BK41">
        <v>5578</v>
      </c>
      <c r="BL41">
        <v>5958</v>
      </c>
      <c r="BM41">
        <v>6280</v>
      </c>
      <c r="BN41">
        <v>6633</v>
      </c>
      <c r="BO41">
        <v>6949</v>
      </c>
      <c r="BP41">
        <v>7236</v>
      </c>
      <c r="BQ41">
        <v>7491</v>
      </c>
      <c r="BR41">
        <v>7766</v>
      </c>
      <c r="BS41">
        <v>7956</v>
      </c>
      <c r="BT41">
        <v>8116</v>
      </c>
      <c r="BU41">
        <v>8260</v>
      </c>
      <c r="BV41">
        <v>8385</v>
      </c>
      <c r="BW41">
        <v>8483</v>
      </c>
      <c r="BX41">
        <v>8573</v>
      </c>
      <c r="BY41">
        <v>8633</v>
      </c>
      <c r="BZ41">
        <v>8680</v>
      </c>
      <c r="CA41">
        <v>8703</v>
      </c>
      <c r="CB41">
        <v>8716</v>
      </c>
      <c r="CC41">
        <v>8732</v>
      </c>
      <c r="CD41">
        <v>8746</v>
      </c>
      <c r="CE41">
        <v>8760</v>
      </c>
      <c r="CF41">
        <v>8760</v>
      </c>
      <c r="CG41">
        <v>8760</v>
      </c>
      <c r="CH41">
        <v>8760</v>
      </c>
      <c r="CI41">
        <v>8760</v>
      </c>
      <c r="CJ41">
        <v>8760</v>
      </c>
      <c r="CK41">
        <v>8760</v>
      </c>
      <c r="CL41">
        <v>8760</v>
      </c>
      <c r="CM41">
        <v>8760</v>
      </c>
      <c r="CN41">
        <v>8760</v>
      </c>
      <c r="CO41">
        <v>8760</v>
      </c>
      <c r="CP41">
        <v>8760</v>
      </c>
      <c r="CQ41">
        <v>8760</v>
      </c>
      <c r="CR41">
        <v>8760</v>
      </c>
      <c r="CS41">
        <v>8760</v>
      </c>
      <c r="CT41">
        <v>8760</v>
      </c>
      <c r="CU41">
        <v>8760</v>
      </c>
      <c r="CV41">
        <v>8760</v>
      </c>
      <c r="CW41">
        <v>8760</v>
      </c>
      <c r="CX41">
        <v>8760</v>
      </c>
      <c r="CY41">
        <v>8760</v>
      </c>
      <c r="CZ41">
        <v>8760</v>
      </c>
      <c r="DA41">
        <v>8760</v>
      </c>
      <c r="DB41">
        <v>8760</v>
      </c>
    </row>
    <row r="42" spans="1:106" x14ac:dyDescent="0.25">
      <c r="A42" s="13" t="s">
        <v>60</v>
      </c>
      <c r="B42" t="s">
        <v>358</v>
      </c>
      <c r="C42" t="s">
        <v>438</v>
      </c>
      <c r="D42" t="s">
        <v>489</v>
      </c>
      <c r="E42" t="s">
        <v>490</v>
      </c>
      <c r="F42">
        <v>102138</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9</v>
      </c>
      <c r="AU42">
        <v>13</v>
      </c>
      <c r="AV42">
        <v>20</v>
      </c>
      <c r="AW42">
        <v>36</v>
      </c>
      <c r="AX42">
        <v>61</v>
      </c>
      <c r="AY42">
        <v>79</v>
      </c>
      <c r="AZ42">
        <v>127</v>
      </c>
      <c r="BA42">
        <v>221</v>
      </c>
      <c r="BB42">
        <v>331</v>
      </c>
      <c r="BC42">
        <v>490</v>
      </c>
      <c r="BD42">
        <v>739</v>
      </c>
      <c r="BE42">
        <v>1069</v>
      </c>
      <c r="BF42">
        <v>1500</v>
      </c>
      <c r="BG42">
        <v>2005</v>
      </c>
      <c r="BH42">
        <v>2540</v>
      </c>
      <c r="BI42">
        <v>3077</v>
      </c>
      <c r="BJ42">
        <v>3534</v>
      </c>
      <c r="BK42">
        <v>3931</v>
      </c>
      <c r="BL42">
        <v>4278</v>
      </c>
      <c r="BM42">
        <v>4586</v>
      </c>
      <c r="BN42">
        <v>4948</v>
      </c>
      <c r="BO42">
        <v>5304</v>
      </c>
      <c r="BP42">
        <v>5716</v>
      </c>
      <c r="BQ42">
        <v>6159</v>
      </c>
      <c r="BR42">
        <v>6574</v>
      </c>
      <c r="BS42">
        <v>7018</v>
      </c>
      <c r="BT42">
        <v>7425</v>
      </c>
      <c r="BU42">
        <v>7749</v>
      </c>
      <c r="BV42">
        <v>7988</v>
      </c>
      <c r="BW42">
        <v>8173</v>
      </c>
      <c r="BX42">
        <v>8321</v>
      </c>
      <c r="BY42">
        <v>8452</v>
      </c>
      <c r="BZ42">
        <v>8546</v>
      </c>
      <c r="CA42">
        <v>8602</v>
      </c>
      <c r="CB42">
        <v>8652</v>
      </c>
      <c r="CC42">
        <v>8688</v>
      </c>
      <c r="CD42">
        <v>8718</v>
      </c>
      <c r="CE42">
        <v>8743</v>
      </c>
      <c r="CF42">
        <v>8753</v>
      </c>
      <c r="CG42">
        <v>8760</v>
      </c>
      <c r="CH42">
        <v>8760</v>
      </c>
      <c r="CI42">
        <v>8760</v>
      </c>
      <c r="CJ42">
        <v>8760</v>
      </c>
      <c r="CK42">
        <v>8760</v>
      </c>
      <c r="CL42">
        <v>8760</v>
      </c>
      <c r="CM42">
        <v>8760</v>
      </c>
      <c r="CN42">
        <v>8760</v>
      </c>
      <c r="CO42">
        <v>8760</v>
      </c>
      <c r="CP42">
        <v>8760</v>
      </c>
      <c r="CQ42">
        <v>8760</v>
      </c>
      <c r="CR42">
        <v>8760</v>
      </c>
      <c r="CS42">
        <v>8760</v>
      </c>
      <c r="CT42">
        <v>8760</v>
      </c>
      <c r="CU42">
        <v>8760</v>
      </c>
      <c r="CV42">
        <v>8760</v>
      </c>
      <c r="CW42">
        <v>8760</v>
      </c>
      <c r="CX42">
        <v>8760</v>
      </c>
      <c r="CY42">
        <v>8760</v>
      </c>
      <c r="CZ42">
        <v>8760</v>
      </c>
      <c r="DA42">
        <v>8760</v>
      </c>
      <c r="DB42">
        <v>8760</v>
      </c>
    </row>
    <row r="43" spans="1:106" x14ac:dyDescent="0.25">
      <c r="A43" s="13" t="s">
        <v>61</v>
      </c>
      <c r="B43" t="s">
        <v>52</v>
      </c>
      <c r="C43" t="s">
        <v>438</v>
      </c>
      <c r="D43" t="s">
        <v>491</v>
      </c>
      <c r="E43" t="s">
        <v>492</v>
      </c>
      <c r="F43">
        <v>102132</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6</v>
      </c>
      <c r="AS43">
        <v>16</v>
      </c>
      <c r="AT43">
        <v>29</v>
      </c>
      <c r="AU43">
        <v>41</v>
      </c>
      <c r="AV43">
        <v>48</v>
      </c>
      <c r="AW43">
        <v>55</v>
      </c>
      <c r="AX43">
        <v>75</v>
      </c>
      <c r="AY43">
        <v>95</v>
      </c>
      <c r="AZ43">
        <v>159</v>
      </c>
      <c r="BA43">
        <v>254</v>
      </c>
      <c r="BB43">
        <v>416</v>
      </c>
      <c r="BC43">
        <v>727</v>
      </c>
      <c r="BD43">
        <v>1047</v>
      </c>
      <c r="BE43">
        <v>1389</v>
      </c>
      <c r="BF43">
        <v>1796</v>
      </c>
      <c r="BG43">
        <v>2235</v>
      </c>
      <c r="BH43">
        <v>2792</v>
      </c>
      <c r="BI43">
        <v>3365</v>
      </c>
      <c r="BJ43">
        <v>3817</v>
      </c>
      <c r="BK43">
        <v>4258</v>
      </c>
      <c r="BL43">
        <v>4577</v>
      </c>
      <c r="BM43">
        <v>4840</v>
      </c>
      <c r="BN43">
        <v>5094</v>
      </c>
      <c r="BO43">
        <v>5397</v>
      </c>
      <c r="BP43">
        <v>5820</v>
      </c>
      <c r="BQ43">
        <v>6244</v>
      </c>
      <c r="BR43">
        <v>6696</v>
      </c>
      <c r="BS43">
        <v>7148</v>
      </c>
      <c r="BT43">
        <v>7534</v>
      </c>
      <c r="BU43">
        <v>7871</v>
      </c>
      <c r="BV43">
        <v>8119</v>
      </c>
      <c r="BW43">
        <v>8323</v>
      </c>
      <c r="BX43">
        <v>8448</v>
      </c>
      <c r="BY43">
        <v>8537</v>
      </c>
      <c r="BZ43">
        <v>8587</v>
      </c>
      <c r="CA43">
        <v>8629</v>
      </c>
      <c r="CB43">
        <v>8665</v>
      </c>
      <c r="CC43">
        <v>8701</v>
      </c>
      <c r="CD43">
        <v>8717</v>
      </c>
      <c r="CE43">
        <v>8730</v>
      </c>
      <c r="CF43">
        <v>8743</v>
      </c>
      <c r="CG43">
        <v>8754</v>
      </c>
      <c r="CH43">
        <v>8760</v>
      </c>
      <c r="CI43">
        <v>8760</v>
      </c>
      <c r="CJ43">
        <v>8760</v>
      </c>
      <c r="CK43">
        <v>8760</v>
      </c>
      <c r="CL43">
        <v>8760</v>
      </c>
      <c r="CM43">
        <v>8760</v>
      </c>
      <c r="CN43">
        <v>8760</v>
      </c>
      <c r="CO43">
        <v>8760</v>
      </c>
      <c r="CP43">
        <v>8760</v>
      </c>
      <c r="CQ43">
        <v>8760</v>
      </c>
      <c r="CR43">
        <v>8760</v>
      </c>
      <c r="CS43">
        <v>8760</v>
      </c>
      <c r="CT43">
        <v>8760</v>
      </c>
      <c r="CU43">
        <v>8760</v>
      </c>
      <c r="CV43">
        <v>8760</v>
      </c>
      <c r="CW43">
        <v>8760</v>
      </c>
      <c r="CX43">
        <v>8760</v>
      </c>
      <c r="CY43">
        <v>8760</v>
      </c>
      <c r="CZ43">
        <v>8760</v>
      </c>
      <c r="DA43">
        <v>8760</v>
      </c>
      <c r="DB43">
        <v>8760</v>
      </c>
    </row>
    <row r="44" spans="1:106" x14ac:dyDescent="0.25">
      <c r="A44" s="13" t="s">
        <v>62</v>
      </c>
      <c r="B44" t="s">
        <v>67</v>
      </c>
      <c r="C44" t="s">
        <v>438</v>
      </c>
      <c r="D44" t="s">
        <v>493</v>
      </c>
      <c r="E44" t="s">
        <v>494</v>
      </c>
      <c r="F44">
        <v>102521</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1</v>
      </c>
      <c r="AJ44">
        <v>7</v>
      </c>
      <c r="AK44">
        <v>15</v>
      </c>
      <c r="AL44">
        <v>31</v>
      </c>
      <c r="AM44">
        <v>39</v>
      </c>
      <c r="AN44">
        <v>60</v>
      </c>
      <c r="AO44">
        <v>89</v>
      </c>
      <c r="AP44">
        <v>134</v>
      </c>
      <c r="AQ44">
        <v>179</v>
      </c>
      <c r="AR44">
        <v>238</v>
      </c>
      <c r="AS44">
        <v>309</v>
      </c>
      <c r="AT44">
        <v>375</v>
      </c>
      <c r="AU44">
        <v>458</v>
      </c>
      <c r="AV44">
        <v>537</v>
      </c>
      <c r="AW44">
        <v>649</v>
      </c>
      <c r="AX44">
        <v>778</v>
      </c>
      <c r="AY44">
        <v>958</v>
      </c>
      <c r="AZ44">
        <v>1163</v>
      </c>
      <c r="BA44">
        <v>1393</v>
      </c>
      <c r="BB44">
        <v>1674</v>
      </c>
      <c r="BC44">
        <v>1982</v>
      </c>
      <c r="BD44">
        <v>2397</v>
      </c>
      <c r="BE44">
        <v>2848</v>
      </c>
      <c r="BF44">
        <v>3240</v>
      </c>
      <c r="BG44">
        <v>3563</v>
      </c>
      <c r="BH44">
        <v>3882</v>
      </c>
      <c r="BI44">
        <v>4249</v>
      </c>
      <c r="BJ44">
        <v>4570</v>
      </c>
      <c r="BK44">
        <v>4857</v>
      </c>
      <c r="BL44">
        <v>5163</v>
      </c>
      <c r="BM44">
        <v>5462</v>
      </c>
      <c r="BN44">
        <v>5819</v>
      </c>
      <c r="BO44">
        <v>6203</v>
      </c>
      <c r="BP44">
        <v>6584</v>
      </c>
      <c r="BQ44">
        <v>6944</v>
      </c>
      <c r="BR44">
        <v>7263</v>
      </c>
      <c r="BS44">
        <v>7524</v>
      </c>
      <c r="BT44">
        <v>7754</v>
      </c>
      <c r="BU44">
        <v>7947</v>
      </c>
      <c r="BV44">
        <v>8093</v>
      </c>
      <c r="BW44">
        <v>8234</v>
      </c>
      <c r="BX44">
        <v>8362</v>
      </c>
      <c r="BY44">
        <v>8452</v>
      </c>
      <c r="BZ44">
        <v>8540</v>
      </c>
      <c r="CA44">
        <v>8608</v>
      </c>
      <c r="CB44">
        <v>8673</v>
      </c>
      <c r="CC44">
        <v>8707</v>
      </c>
      <c r="CD44">
        <v>8739</v>
      </c>
      <c r="CE44">
        <v>8752</v>
      </c>
      <c r="CF44">
        <v>8759</v>
      </c>
      <c r="CG44">
        <v>8760</v>
      </c>
      <c r="CH44">
        <v>8760</v>
      </c>
      <c r="CI44">
        <v>8760</v>
      </c>
      <c r="CJ44">
        <v>8760</v>
      </c>
      <c r="CK44">
        <v>8760</v>
      </c>
      <c r="CL44">
        <v>8760</v>
      </c>
      <c r="CM44">
        <v>8760</v>
      </c>
      <c r="CN44">
        <v>8760</v>
      </c>
      <c r="CO44">
        <v>8760</v>
      </c>
      <c r="CP44">
        <v>8760</v>
      </c>
      <c r="CQ44">
        <v>8760</v>
      </c>
      <c r="CR44">
        <v>8760</v>
      </c>
      <c r="CS44">
        <v>8760</v>
      </c>
      <c r="CT44">
        <v>8760</v>
      </c>
      <c r="CU44">
        <v>8760</v>
      </c>
      <c r="CV44">
        <v>8760</v>
      </c>
      <c r="CW44">
        <v>8760</v>
      </c>
      <c r="CX44">
        <v>8760</v>
      </c>
      <c r="CY44">
        <v>8760</v>
      </c>
      <c r="CZ44">
        <v>8760</v>
      </c>
      <c r="DA44">
        <v>8760</v>
      </c>
      <c r="DB44">
        <v>8760</v>
      </c>
    </row>
    <row r="45" spans="1:106" x14ac:dyDescent="0.25">
      <c r="A45" s="13" t="s">
        <v>63</v>
      </c>
      <c r="B45" t="s">
        <v>359</v>
      </c>
    </row>
    <row r="46" spans="1:106" x14ac:dyDescent="0.25">
      <c r="A46" s="13" t="s">
        <v>64</v>
      </c>
      <c r="B46" t="s">
        <v>68</v>
      </c>
      <c r="C46" t="s">
        <v>438</v>
      </c>
      <c r="D46" t="s">
        <v>495</v>
      </c>
      <c r="E46" t="s">
        <v>496</v>
      </c>
      <c r="F46">
        <v>102646</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3</v>
      </c>
      <c r="AO46">
        <v>10</v>
      </c>
      <c r="AP46">
        <v>15</v>
      </c>
      <c r="AQ46">
        <v>17</v>
      </c>
      <c r="AR46">
        <v>22</v>
      </c>
      <c r="AS46">
        <v>32</v>
      </c>
      <c r="AT46">
        <v>49</v>
      </c>
      <c r="AU46">
        <v>84</v>
      </c>
      <c r="AV46">
        <v>118</v>
      </c>
      <c r="AW46">
        <v>175</v>
      </c>
      <c r="AX46">
        <v>283</v>
      </c>
      <c r="AY46">
        <v>434</v>
      </c>
      <c r="AZ46">
        <v>593</v>
      </c>
      <c r="BA46">
        <v>758</v>
      </c>
      <c r="BB46">
        <v>1028</v>
      </c>
      <c r="BC46">
        <v>1346</v>
      </c>
      <c r="BD46">
        <v>1699</v>
      </c>
      <c r="BE46">
        <v>2120</v>
      </c>
      <c r="BF46">
        <v>2578</v>
      </c>
      <c r="BG46">
        <v>3018</v>
      </c>
      <c r="BH46">
        <v>3442</v>
      </c>
      <c r="BI46">
        <v>3909</v>
      </c>
      <c r="BJ46">
        <v>4280</v>
      </c>
      <c r="BK46">
        <v>4601</v>
      </c>
      <c r="BL46">
        <v>4927</v>
      </c>
      <c r="BM46">
        <v>5190</v>
      </c>
      <c r="BN46">
        <v>5492</v>
      </c>
      <c r="BO46">
        <v>5822</v>
      </c>
      <c r="BP46">
        <v>6159</v>
      </c>
      <c r="BQ46">
        <v>6454</v>
      </c>
      <c r="BR46">
        <v>6808</v>
      </c>
      <c r="BS46">
        <v>7137</v>
      </c>
      <c r="BT46">
        <v>7427</v>
      </c>
      <c r="BU46">
        <v>7659</v>
      </c>
      <c r="BV46">
        <v>7873</v>
      </c>
      <c r="BW46">
        <v>8075</v>
      </c>
      <c r="BX46">
        <v>8227</v>
      </c>
      <c r="BY46">
        <v>8380</v>
      </c>
      <c r="BZ46">
        <v>8494</v>
      </c>
      <c r="CA46">
        <v>8564</v>
      </c>
      <c r="CB46">
        <v>8636</v>
      </c>
      <c r="CC46">
        <v>8700</v>
      </c>
      <c r="CD46">
        <v>8728</v>
      </c>
      <c r="CE46">
        <v>8739</v>
      </c>
      <c r="CF46">
        <v>8749</v>
      </c>
      <c r="CG46">
        <v>8760</v>
      </c>
      <c r="CH46">
        <v>8760</v>
      </c>
      <c r="CI46">
        <v>8760</v>
      </c>
      <c r="CJ46">
        <v>8760</v>
      </c>
      <c r="CK46">
        <v>8760</v>
      </c>
      <c r="CL46">
        <v>8760</v>
      </c>
      <c r="CM46">
        <v>8760</v>
      </c>
      <c r="CN46">
        <v>8760</v>
      </c>
      <c r="CO46">
        <v>8760</v>
      </c>
      <c r="CP46">
        <v>8760</v>
      </c>
      <c r="CQ46">
        <v>8760</v>
      </c>
      <c r="CR46">
        <v>8760</v>
      </c>
      <c r="CS46">
        <v>8760</v>
      </c>
      <c r="CT46">
        <v>8760</v>
      </c>
      <c r="CU46">
        <v>8760</v>
      </c>
      <c r="CV46">
        <v>8760</v>
      </c>
      <c r="CW46">
        <v>8760</v>
      </c>
      <c r="CX46">
        <v>8760</v>
      </c>
      <c r="CY46">
        <v>8760</v>
      </c>
      <c r="CZ46">
        <v>8760</v>
      </c>
      <c r="DA46">
        <v>8760</v>
      </c>
      <c r="DB46">
        <v>8760</v>
      </c>
    </row>
    <row r="47" spans="1:106" x14ac:dyDescent="0.25">
      <c r="A47" s="13" t="s">
        <v>65</v>
      </c>
      <c r="B47" t="s">
        <v>69</v>
      </c>
      <c r="C47" t="s">
        <v>438</v>
      </c>
      <c r="D47" t="s">
        <v>497</v>
      </c>
      <c r="E47" t="s">
        <v>498</v>
      </c>
      <c r="F47">
        <v>102532</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2</v>
      </c>
      <c r="AJ47">
        <v>11</v>
      </c>
      <c r="AK47">
        <v>18</v>
      </c>
      <c r="AL47">
        <v>24</v>
      </c>
      <c r="AM47">
        <v>32</v>
      </c>
      <c r="AN47">
        <v>55</v>
      </c>
      <c r="AO47">
        <v>89</v>
      </c>
      <c r="AP47">
        <v>122</v>
      </c>
      <c r="AQ47">
        <v>155</v>
      </c>
      <c r="AR47">
        <v>188</v>
      </c>
      <c r="AS47">
        <v>227</v>
      </c>
      <c r="AT47">
        <v>278</v>
      </c>
      <c r="AU47">
        <v>335</v>
      </c>
      <c r="AV47">
        <v>410</v>
      </c>
      <c r="AW47">
        <v>507</v>
      </c>
      <c r="AX47">
        <v>627</v>
      </c>
      <c r="AY47">
        <v>768</v>
      </c>
      <c r="AZ47">
        <v>928</v>
      </c>
      <c r="BA47">
        <v>1144</v>
      </c>
      <c r="BB47">
        <v>1443</v>
      </c>
      <c r="BC47">
        <v>1715</v>
      </c>
      <c r="BD47">
        <v>2127</v>
      </c>
      <c r="BE47">
        <v>2554</v>
      </c>
      <c r="BF47">
        <v>2948</v>
      </c>
      <c r="BG47">
        <v>3357</v>
      </c>
      <c r="BH47">
        <v>3745</v>
      </c>
      <c r="BI47">
        <v>4014</v>
      </c>
      <c r="BJ47">
        <v>4339</v>
      </c>
      <c r="BK47">
        <v>4680</v>
      </c>
      <c r="BL47">
        <v>4999</v>
      </c>
      <c r="BM47">
        <v>5410</v>
      </c>
      <c r="BN47">
        <v>5764</v>
      </c>
      <c r="BO47">
        <v>6131</v>
      </c>
      <c r="BP47">
        <v>6465</v>
      </c>
      <c r="BQ47">
        <v>6824</v>
      </c>
      <c r="BR47">
        <v>7177</v>
      </c>
      <c r="BS47">
        <v>7519</v>
      </c>
      <c r="BT47">
        <v>7819</v>
      </c>
      <c r="BU47">
        <v>8127</v>
      </c>
      <c r="BV47">
        <v>8315</v>
      </c>
      <c r="BW47">
        <v>8487</v>
      </c>
      <c r="BX47">
        <v>8590</v>
      </c>
      <c r="BY47">
        <v>8663</v>
      </c>
      <c r="BZ47">
        <v>8708</v>
      </c>
      <c r="CA47">
        <v>8725</v>
      </c>
      <c r="CB47">
        <v>8741</v>
      </c>
      <c r="CC47">
        <v>8755</v>
      </c>
      <c r="CD47">
        <v>8758</v>
      </c>
      <c r="CE47">
        <v>8760</v>
      </c>
      <c r="CF47">
        <v>8760</v>
      </c>
      <c r="CG47">
        <v>8760</v>
      </c>
      <c r="CH47">
        <v>8760</v>
      </c>
      <c r="CI47">
        <v>8760</v>
      </c>
      <c r="CJ47">
        <v>8760</v>
      </c>
      <c r="CK47">
        <v>8760</v>
      </c>
      <c r="CL47">
        <v>8760</v>
      </c>
      <c r="CM47">
        <v>8760</v>
      </c>
      <c r="CN47">
        <v>8760</v>
      </c>
      <c r="CO47">
        <v>8760</v>
      </c>
      <c r="CP47">
        <v>8760</v>
      </c>
      <c r="CQ47">
        <v>8760</v>
      </c>
      <c r="CR47">
        <v>8760</v>
      </c>
      <c r="CS47">
        <v>8760</v>
      </c>
      <c r="CT47">
        <v>8760</v>
      </c>
      <c r="CU47">
        <v>8760</v>
      </c>
      <c r="CV47">
        <v>8760</v>
      </c>
      <c r="CW47">
        <v>8760</v>
      </c>
      <c r="CX47">
        <v>8760</v>
      </c>
      <c r="CY47">
        <v>8760</v>
      </c>
      <c r="CZ47">
        <v>8760</v>
      </c>
      <c r="DA47">
        <v>8760</v>
      </c>
      <c r="DB47">
        <v>8760</v>
      </c>
    </row>
    <row r="48" spans="1:106" x14ac:dyDescent="0.25">
      <c r="A48" s="13" t="s">
        <v>66</v>
      </c>
      <c r="B48" t="s">
        <v>360</v>
      </c>
      <c r="C48" t="s">
        <v>438</v>
      </c>
      <c r="D48" t="s">
        <v>499</v>
      </c>
      <c r="E48" t="s">
        <v>500</v>
      </c>
      <c r="F48">
        <v>102724</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4</v>
      </c>
      <c r="AF48">
        <v>9</v>
      </c>
      <c r="AG48">
        <v>12</v>
      </c>
      <c r="AH48">
        <v>18</v>
      </c>
      <c r="AI48">
        <v>30</v>
      </c>
      <c r="AJ48">
        <v>57</v>
      </c>
      <c r="AK48">
        <v>74</v>
      </c>
      <c r="AL48">
        <v>115</v>
      </c>
      <c r="AM48">
        <v>162</v>
      </c>
      <c r="AN48">
        <v>216</v>
      </c>
      <c r="AO48">
        <v>271</v>
      </c>
      <c r="AP48">
        <v>336</v>
      </c>
      <c r="AQ48">
        <v>389</v>
      </c>
      <c r="AR48">
        <v>457</v>
      </c>
      <c r="AS48">
        <v>568</v>
      </c>
      <c r="AT48">
        <v>674</v>
      </c>
      <c r="AU48">
        <v>772</v>
      </c>
      <c r="AV48">
        <v>887</v>
      </c>
      <c r="AW48">
        <v>1014</v>
      </c>
      <c r="AX48">
        <v>1160</v>
      </c>
      <c r="AY48">
        <v>1339</v>
      </c>
      <c r="AZ48">
        <v>1553</v>
      </c>
      <c r="BA48">
        <v>1810</v>
      </c>
      <c r="BB48">
        <v>2124</v>
      </c>
      <c r="BC48">
        <v>2514</v>
      </c>
      <c r="BD48">
        <v>2858</v>
      </c>
      <c r="BE48">
        <v>3208</v>
      </c>
      <c r="BF48">
        <v>3590</v>
      </c>
      <c r="BG48">
        <v>3942</v>
      </c>
      <c r="BH48">
        <v>4254</v>
      </c>
      <c r="BI48">
        <v>4602</v>
      </c>
      <c r="BJ48">
        <v>4918</v>
      </c>
      <c r="BK48">
        <v>5198</v>
      </c>
      <c r="BL48">
        <v>5481</v>
      </c>
      <c r="BM48">
        <v>5761</v>
      </c>
      <c r="BN48">
        <v>6084</v>
      </c>
      <c r="BO48">
        <v>6392</v>
      </c>
      <c r="BP48">
        <v>6747</v>
      </c>
      <c r="BQ48">
        <v>7075</v>
      </c>
      <c r="BR48">
        <v>7383</v>
      </c>
      <c r="BS48">
        <v>7648</v>
      </c>
      <c r="BT48">
        <v>7903</v>
      </c>
      <c r="BU48">
        <v>8105</v>
      </c>
      <c r="BV48">
        <v>8258</v>
      </c>
      <c r="BW48">
        <v>8384</v>
      </c>
      <c r="BX48">
        <v>8500</v>
      </c>
      <c r="BY48">
        <v>8580</v>
      </c>
      <c r="BZ48">
        <v>8628</v>
      </c>
      <c r="CA48">
        <v>8661</v>
      </c>
      <c r="CB48">
        <v>8702</v>
      </c>
      <c r="CC48">
        <v>8725</v>
      </c>
      <c r="CD48">
        <v>8741</v>
      </c>
      <c r="CE48">
        <v>8751</v>
      </c>
      <c r="CF48">
        <v>8759</v>
      </c>
      <c r="CG48">
        <v>8760</v>
      </c>
      <c r="CH48">
        <v>8760</v>
      </c>
      <c r="CI48">
        <v>8760</v>
      </c>
      <c r="CJ48">
        <v>8760</v>
      </c>
      <c r="CK48">
        <v>8760</v>
      </c>
      <c r="CL48">
        <v>8760</v>
      </c>
      <c r="CM48">
        <v>8760</v>
      </c>
      <c r="CN48">
        <v>8760</v>
      </c>
      <c r="CO48">
        <v>8760</v>
      </c>
      <c r="CP48">
        <v>8760</v>
      </c>
      <c r="CQ48">
        <v>8760</v>
      </c>
      <c r="CR48">
        <v>8760</v>
      </c>
      <c r="CS48">
        <v>8760</v>
      </c>
      <c r="CT48">
        <v>8760</v>
      </c>
      <c r="CU48">
        <v>8760</v>
      </c>
      <c r="CV48">
        <v>8760</v>
      </c>
      <c r="CW48">
        <v>8760</v>
      </c>
      <c r="CX48">
        <v>8760</v>
      </c>
      <c r="CY48">
        <v>8760</v>
      </c>
      <c r="CZ48">
        <v>8760</v>
      </c>
      <c r="DA48">
        <v>8760</v>
      </c>
      <c r="DB48">
        <v>8760</v>
      </c>
    </row>
    <row r="49" spans="1:106" x14ac:dyDescent="0.25">
      <c r="A49" s="13" t="s">
        <v>67</v>
      </c>
      <c r="B49" t="s">
        <v>71</v>
      </c>
      <c r="C49" t="s">
        <v>438</v>
      </c>
      <c r="D49" t="s">
        <v>501</v>
      </c>
      <c r="E49" t="s">
        <v>502</v>
      </c>
      <c r="F49">
        <v>102901</v>
      </c>
      <c r="G49">
        <v>0</v>
      </c>
      <c r="H49">
        <v>0</v>
      </c>
      <c r="I49">
        <v>0</v>
      </c>
      <c r="J49">
        <v>0</v>
      </c>
      <c r="K49">
        <v>0</v>
      </c>
      <c r="L49">
        <v>0</v>
      </c>
      <c r="M49">
        <v>0</v>
      </c>
      <c r="N49">
        <v>0</v>
      </c>
      <c r="O49">
        <v>0</v>
      </c>
      <c r="P49">
        <v>0</v>
      </c>
      <c r="Q49">
        <v>0</v>
      </c>
      <c r="R49">
        <v>0</v>
      </c>
      <c r="S49">
        <v>0</v>
      </c>
      <c r="T49">
        <v>0</v>
      </c>
      <c r="U49">
        <v>0</v>
      </c>
      <c r="V49">
        <v>1</v>
      </c>
      <c r="W49">
        <v>5</v>
      </c>
      <c r="X49">
        <v>10</v>
      </c>
      <c r="Y49">
        <v>15</v>
      </c>
      <c r="Z49">
        <v>21</v>
      </c>
      <c r="AA49">
        <v>31</v>
      </c>
      <c r="AB49">
        <v>37</v>
      </c>
      <c r="AC49">
        <v>53</v>
      </c>
      <c r="AD49">
        <v>75</v>
      </c>
      <c r="AE49">
        <v>99</v>
      </c>
      <c r="AF49">
        <v>121</v>
      </c>
      <c r="AG49">
        <v>157</v>
      </c>
      <c r="AH49">
        <v>188</v>
      </c>
      <c r="AI49">
        <v>223</v>
      </c>
      <c r="AJ49">
        <v>259</v>
      </c>
      <c r="AK49">
        <v>317</v>
      </c>
      <c r="AL49">
        <v>373</v>
      </c>
      <c r="AM49">
        <v>454</v>
      </c>
      <c r="AN49">
        <v>531</v>
      </c>
      <c r="AO49">
        <v>612</v>
      </c>
      <c r="AP49">
        <v>688</v>
      </c>
      <c r="AQ49">
        <v>781</v>
      </c>
      <c r="AR49">
        <v>894</v>
      </c>
      <c r="AS49">
        <v>1009</v>
      </c>
      <c r="AT49">
        <v>1144</v>
      </c>
      <c r="AU49">
        <v>1274</v>
      </c>
      <c r="AV49">
        <v>1416</v>
      </c>
      <c r="AW49">
        <v>1651</v>
      </c>
      <c r="AX49">
        <v>1868</v>
      </c>
      <c r="AY49">
        <v>2134</v>
      </c>
      <c r="AZ49">
        <v>2396</v>
      </c>
      <c r="BA49">
        <v>2690</v>
      </c>
      <c r="BB49">
        <v>3008</v>
      </c>
      <c r="BC49">
        <v>3325</v>
      </c>
      <c r="BD49">
        <v>3672</v>
      </c>
      <c r="BE49">
        <v>4021</v>
      </c>
      <c r="BF49">
        <v>4341</v>
      </c>
      <c r="BG49">
        <v>4661</v>
      </c>
      <c r="BH49">
        <v>4968</v>
      </c>
      <c r="BI49">
        <v>5240</v>
      </c>
      <c r="BJ49">
        <v>5583</v>
      </c>
      <c r="BK49">
        <v>5875</v>
      </c>
      <c r="BL49">
        <v>6168</v>
      </c>
      <c r="BM49">
        <v>6461</v>
      </c>
      <c r="BN49">
        <v>6735</v>
      </c>
      <c r="BO49">
        <v>7059</v>
      </c>
      <c r="BP49">
        <v>7358</v>
      </c>
      <c r="BQ49">
        <v>7615</v>
      </c>
      <c r="BR49">
        <v>7855</v>
      </c>
      <c r="BS49">
        <v>8071</v>
      </c>
      <c r="BT49">
        <v>8239</v>
      </c>
      <c r="BU49">
        <v>8390</v>
      </c>
      <c r="BV49">
        <v>8507</v>
      </c>
      <c r="BW49">
        <v>8584</v>
      </c>
      <c r="BX49">
        <v>8631</v>
      </c>
      <c r="BY49">
        <v>8676</v>
      </c>
      <c r="BZ49">
        <v>8713</v>
      </c>
      <c r="CA49">
        <v>8730</v>
      </c>
      <c r="CB49">
        <v>8746</v>
      </c>
      <c r="CC49">
        <v>8753</v>
      </c>
      <c r="CD49">
        <v>8754</v>
      </c>
      <c r="CE49">
        <v>8756</v>
      </c>
      <c r="CF49">
        <v>8758</v>
      </c>
      <c r="CG49">
        <v>8760</v>
      </c>
      <c r="CH49">
        <v>8760</v>
      </c>
      <c r="CI49">
        <v>8760</v>
      </c>
      <c r="CJ49">
        <v>8760</v>
      </c>
      <c r="CK49">
        <v>8760</v>
      </c>
      <c r="CL49">
        <v>8760</v>
      </c>
      <c r="CM49">
        <v>8760</v>
      </c>
      <c r="CN49">
        <v>8760</v>
      </c>
      <c r="CO49">
        <v>8760</v>
      </c>
      <c r="CP49">
        <v>8760</v>
      </c>
      <c r="CQ49">
        <v>8760</v>
      </c>
      <c r="CR49">
        <v>8760</v>
      </c>
      <c r="CS49">
        <v>8760</v>
      </c>
      <c r="CT49">
        <v>8760</v>
      </c>
      <c r="CU49">
        <v>8760</v>
      </c>
      <c r="CV49">
        <v>8760</v>
      </c>
      <c r="CW49">
        <v>8760</v>
      </c>
      <c r="CX49">
        <v>8760</v>
      </c>
      <c r="CY49">
        <v>8760</v>
      </c>
      <c r="CZ49">
        <v>8760</v>
      </c>
      <c r="DA49">
        <v>8760</v>
      </c>
      <c r="DB49">
        <v>8760</v>
      </c>
    </row>
    <row r="50" spans="1:106" x14ac:dyDescent="0.25">
      <c r="A50" s="13" t="s">
        <v>68</v>
      </c>
      <c r="B50" t="s">
        <v>73</v>
      </c>
      <c r="C50" t="s">
        <v>438</v>
      </c>
      <c r="D50" t="s">
        <v>503</v>
      </c>
      <c r="E50" t="s">
        <v>504</v>
      </c>
      <c r="F50">
        <v>102222</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3</v>
      </c>
      <c r="AM50">
        <v>5</v>
      </c>
      <c r="AN50">
        <v>10</v>
      </c>
      <c r="AO50">
        <v>21</v>
      </c>
      <c r="AP50">
        <v>33</v>
      </c>
      <c r="AQ50">
        <v>48</v>
      </c>
      <c r="AR50">
        <v>76</v>
      </c>
      <c r="AS50">
        <v>109</v>
      </c>
      <c r="AT50">
        <v>152</v>
      </c>
      <c r="AU50">
        <v>218</v>
      </c>
      <c r="AV50">
        <v>282</v>
      </c>
      <c r="AW50">
        <v>392</v>
      </c>
      <c r="AX50">
        <v>493</v>
      </c>
      <c r="AY50">
        <v>609</v>
      </c>
      <c r="AZ50">
        <v>760</v>
      </c>
      <c r="BA50">
        <v>930</v>
      </c>
      <c r="BB50">
        <v>1219</v>
      </c>
      <c r="BC50">
        <v>1493</v>
      </c>
      <c r="BD50">
        <v>1855</v>
      </c>
      <c r="BE50">
        <v>2348</v>
      </c>
      <c r="BF50">
        <v>2792</v>
      </c>
      <c r="BG50">
        <v>3196</v>
      </c>
      <c r="BH50">
        <v>3652</v>
      </c>
      <c r="BI50">
        <v>4112</v>
      </c>
      <c r="BJ50">
        <v>4445</v>
      </c>
      <c r="BK50">
        <v>4778</v>
      </c>
      <c r="BL50">
        <v>5110</v>
      </c>
      <c r="BM50">
        <v>5424</v>
      </c>
      <c r="BN50">
        <v>5755</v>
      </c>
      <c r="BO50">
        <v>6085</v>
      </c>
      <c r="BP50">
        <v>6430</v>
      </c>
      <c r="BQ50">
        <v>6751</v>
      </c>
      <c r="BR50">
        <v>7085</v>
      </c>
      <c r="BS50">
        <v>7414</v>
      </c>
      <c r="BT50">
        <v>7704</v>
      </c>
      <c r="BU50">
        <v>7980</v>
      </c>
      <c r="BV50">
        <v>8182</v>
      </c>
      <c r="BW50">
        <v>8326</v>
      </c>
      <c r="BX50">
        <v>8454</v>
      </c>
      <c r="BY50">
        <v>8552</v>
      </c>
      <c r="BZ50">
        <v>8621</v>
      </c>
      <c r="CA50">
        <v>8672</v>
      </c>
      <c r="CB50">
        <v>8703</v>
      </c>
      <c r="CC50">
        <v>8727</v>
      </c>
      <c r="CD50">
        <v>8738</v>
      </c>
      <c r="CE50">
        <v>8754</v>
      </c>
      <c r="CF50">
        <v>8759</v>
      </c>
      <c r="CG50">
        <v>8760</v>
      </c>
      <c r="CH50">
        <v>8760</v>
      </c>
      <c r="CI50">
        <v>8760</v>
      </c>
      <c r="CJ50">
        <v>8760</v>
      </c>
      <c r="CK50">
        <v>8760</v>
      </c>
      <c r="CL50">
        <v>8760</v>
      </c>
      <c r="CM50">
        <v>8760</v>
      </c>
      <c r="CN50">
        <v>8760</v>
      </c>
      <c r="CO50">
        <v>8760</v>
      </c>
      <c r="CP50">
        <v>8760</v>
      </c>
      <c r="CQ50">
        <v>8760</v>
      </c>
      <c r="CR50">
        <v>8760</v>
      </c>
      <c r="CS50">
        <v>8760</v>
      </c>
      <c r="CT50">
        <v>8760</v>
      </c>
      <c r="CU50">
        <v>8760</v>
      </c>
      <c r="CV50">
        <v>8760</v>
      </c>
      <c r="CW50">
        <v>8760</v>
      </c>
      <c r="CX50">
        <v>8760</v>
      </c>
      <c r="CY50">
        <v>8760</v>
      </c>
      <c r="CZ50">
        <v>8760</v>
      </c>
      <c r="DA50">
        <v>8760</v>
      </c>
      <c r="DB50">
        <v>8760</v>
      </c>
    </row>
    <row r="51" spans="1:106" x14ac:dyDescent="0.25">
      <c r="A51" s="13" t="s">
        <v>69</v>
      </c>
      <c r="B51" t="s">
        <v>72</v>
      </c>
      <c r="C51" t="s">
        <v>438</v>
      </c>
      <c r="D51" t="s">
        <v>505</v>
      </c>
      <c r="E51" t="s">
        <v>506</v>
      </c>
      <c r="F51">
        <v>102717</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1</v>
      </c>
      <c r="AG51">
        <v>11</v>
      </c>
      <c r="AH51">
        <v>17</v>
      </c>
      <c r="AI51">
        <v>25</v>
      </c>
      <c r="AJ51">
        <v>41</v>
      </c>
      <c r="AK51">
        <v>53</v>
      </c>
      <c r="AL51">
        <v>72</v>
      </c>
      <c r="AM51">
        <v>113</v>
      </c>
      <c r="AN51">
        <v>174</v>
      </c>
      <c r="AO51">
        <v>233</v>
      </c>
      <c r="AP51">
        <v>308</v>
      </c>
      <c r="AQ51">
        <v>404</v>
      </c>
      <c r="AR51">
        <v>500</v>
      </c>
      <c r="AS51">
        <v>602</v>
      </c>
      <c r="AT51">
        <v>697</v>
      </c>
      <c r="AU51">
        <v>793</v>
      </c>
      <c r="AV51">
        <v>943</v>
      </c>
      <c r="AW51">
        <v>1069</v>
      </c>
      <c r="AX51">
        <v>1216</v>
      </c>
      <c r="AY51">
        <v>1414</v>
      </c>
      <c r="AZ51">
        <v>1645</v>
      </c>
      <c r="BA51">
        <v>1912</v>
      </c>
      <c r="BB51">
        <v>2262</v>
      </c>
      <c r="BC51">
        <v>2600</v>
      </c>
      <c r="BD51">
        <v>2956</v>
      </c>
      <c r="BE51">
        <v>3323</v>
      </c>
      <c r="BF51">
        <v>3751</v>
      </c>
      <c r="BG51">
        <v>4119</v>
      </c>
      <c r="BH51">
        <v>4448</v>
      </c>
      <c r="BI51">
        <v>4749</v>
      </c>
      <c r="BJ51">
        <v>5043</v>
      </c>
      <c r="BK51">
        <v>5351</v>
      </c>
      <c r="BL51">
        <v>5718</v>
      </c>
      <c r="BM51">
        <v>6055</v>
      </c>
      <c r="BN51">
        <v>6386</v>
      </c>
      <c r="BO51">
        <v>6680</v>
      </c>
      <c r="BP51">
        <v>7006</v>
      </c>
      <c r="BQ51">
        <v>7333</v>
      </c>
      <c r="BR51">
        <v>7596</v>
      </c>
      <c r="BS51">
        <v>7835</v>
      </c>
      <c r="BT51">
        <v>8057</v>
      </c>
      <c r="BU51">
        <v>8245</v>
      </c>
      <c r="BV51">
        <v>8394</v>
      </c>
      <c r="BW51">
        <v>8530</v>
      </c>
      <c r="BX51">
        <v>8617</v>
      </c>
      <c r="BY51">
        <v>8663</v>
      </c>
      <c r="BZ51">
        <v>8710</v>
      </c>
      <c r="CA51">
        <v>8730</v>
      </c>
      <c r="CB51">
        <v>8749</v>
      </c>
      <c r="CC51">
        <v>8758</v>
      </c>
      <c r="CD51">
        <v>8760</v>
      </c>
      <c r="CE51">
        <v>8760</v>
      </c>
      <c r="CF51">
        <v>8760</v>
      </c>
      <c r="CG51">
        <v>8760</v>
      </c>
      <c r="CH51">
        <v>8760</v>
      </c>
      <c r="CI51">
        <v>8760</v>
      </c>
      <c r="CJ51">
        <v>8760</v>
      </c>
      <c r="CK51">
        <v>8760</v>
      </c>
      <c r="CL51">
        <v>8760</v>
      </c>
      <c r="CM51">
        <v>8760</v>
      </c>
      <c r="CN51">
        <v>8760</v>
      </c>
      <c r="CO51">
        <v>8760</v>
      </c>
      <c r="CP51">
        <v>8760</v>
      </c>
      <c r="CQ51">
        <v>8760</v>
      </c>
      <c r="CR51">
        <v>8760</v>
      </c>
      <c r="CS51">
        <v>8760</v>
      </c>
      <c r="CT51">
        <v>8760</v>
      </c>
      <c r="CU51">
        <v>8760</v>
      </c>
      <c r="CV51">
        <v>8760</v>
      </c>
      <c r="CW51">
        <v>8760</v>
      </c>
      <c r="CX51">
        <v>8760</v>
      </c>
      <c r="CY51">
        <v>8760</v>
      </c>
      <c r="CZ51">
        <v>8760</v>
      </c>
      <c r="DA51">
        <v>8760</v>
      </c>
      <c r="DB51">
        <v>8760</v>
      </c>
    </row>
    <row r="52" spans="1:106" x14ac:dyDescent="0.25">
      <c r="A52" s="13" t="s">
        <v>70</v>
      </c>
      <c r="B52" t="s">
        <v>74</v>
      </c>
      <c r="C52" t="s">
        <v>438</v>
      </c>
      <c r="D52" t="s">
        <v>507</v>
      </c>
      <c r="E52" t="s">
        <v>508</v>
      </c>
      <c r="F52">
        <v>102322</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1</v>
      </c>
      <c r="AM52">
        <v>4</v>
      </c>
      <c r="AN52">
        <v>8</v>
      </c>
      <c r="AO52">
        <v>12</v>
      </c>
      <c r="AP52">
        <v>20</v>
      </c>
      <c r="AQ52">
        <v>36</v>
      </c>
      <c r="AR52">
        <v>76</v>
      </c>
      <c r="AS52">
        <v>119</v>
      </c>
      <c r="AT52">
        <v>196</v>
      </c>
      <c r="AU52">
        <v>287</v>
      </c>
      <c r="AV52">
        <v>367</v>
      </c>
      <c r="AW52">
        <v>469</v>
      </c>
      <c r="AX52">
        <v>561</v>
      </c>
      <c r="AY52">
        <v>713</v>
      </c>
      <c r="AZ52">
        <v>890</v>
      </c>
      <c r="BA52">
        <v>1125</v>
      </c>
      <c r="BB52">
        <v>1376</v>
      </c>
      <c r="BC52">
        <v>1674</v>
      </c>
      <c r="BD52">
        <v>2067</v>
      </c>
      <c r="BE52">
        <v>2509</v>
      </c>
      <c r="BF52">
        <v>2886</v>
      </c>
      <c r="BG52">
        <v>3250</v>
      </c>
      <c r="BH52">
        <v>3633</v>
      </c>
      <c r="BI52">
        <v>3998</v>
      </c>
      <c r="BJ52">
        <v>4401</v>
      </c>
      <c r="BK52">
        <v>4745</v>
      </c>
      <c r="BL52">
        <v>5044</v>
      </c>
      <c r="BM52">
        <v>5408</v>
      </c>
      <c r="BN52">
        <v>5799</v>
      </c>
      <c r="BO52">
        <v>6222</v>
      </c>
      <c r="BP52">
        <v>6598</v>
      </c>
      <c r="BQ52">
        <v>6954</v>
      </c>
      <c r="BR52">
        <v>7295</v>
      </c>
      <c r="BS52">
        <v>7599</v>
      </c>
      <c r="BT52">
        <v>7904</v>
      </c>
      <c r="BU52">
        <v>8153</v>
      </c>
      <c r="BV52">
        <v>8346</v>
      </c>
      <c r="BW52">
        <v>8494</v>
      </c>
      <c r="BX52">
        <v>8584</v>
      </c>
      <c r="BY52">
        <v>8651</v>
      </c>
      <c r="BZ52">
        <v>8693</v>
      </c>
      <c r="CA52">
        <v>8728</v>
      </c>
      <c r="CB52">
        <v>8741</v>
      </c>
      <c r="CC52">
        <v>8749</v>
      </c>
      <c r="CD52">
        <v>8757</v>
      </c>
      <c r="CE52">
        <v>8760</v>
      </c>
      <c r="CF52">
        <v>8760</v>
      </c>
      <c r="CG52">
        <v>8760</v>
      </c>
      <c r="CH52">
        <v>8760</v>
      </c>
      <c r="CI52">
        <v>8760</v>
      </c>
      <c r="CJ52">
        <v>8760</v>
      </c>
      <c r="CK52">
        <v>8760</v>
      </c>
      <c r="CL52">
        <v>8760</v>
      </c>
      <c r="CM52">
        <v>8760</v>
      </c>
      <c r="CN52">
        <v>8760</v>
      </c>
      <c r="CO52">
        <v>8760</v>
      </c>
      <c r="CP52">
        <v>8760</v>
      </c>
      <c r="CQ52">
        <v>8760</v>
      </c>
      <c r="CR52">
        <v>8760</v>
      </c>
      <c r="CS52">
        <v>8760</v>
      </c>
      <c r="CT52">
        <v>8760</v>
      </c>
      <c r="CU52">
        <v>8760</v>
      </c>
      <c r="CV52">
        <v>8760</v>
      </c>
      <c r="CW52">
        <v>8760</v>
      </c>
      <c r="CX52">
        <v>8760</v>
      </c>
      <c r="CY52">
        <v>8760</v>
      </c>
      <c r="CZ52">
        <v>8760</v>
      </c>
      <c r="DA52">
        <v>8760</v>
      </c>
      <c r="DB52">
        <v>8760</v>
      </c>
    </row>
    <row r="53" spans="1:106" x14ac:dyDescent="0.25">
      <c r="A53" s="13" t="s">
        <v>71</v>
      </c>
      <c r="B53" t="s">
        <v>75</v>
      </c>
      <c r="C53" t="s">
        <v>438</v>
      </c>
      <c r="D53" t="s">
        <v>509</v>
      </c>
      <c r="E53" t="s">
        <v>510</v>
      </c>
      <c r="F53">
        <v>102341</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2</v>
      </c>
      <c r="AL53">
        <v>5</v>
      </c>
      <c r="AM53">
        <v>8</v>
      </c>
      <c r="AN53">
        <v>12</v>
      </c>
      <c r="AO53">
        <v>16</v>
      </c>
      <c r="AP53">
        <v>23</v>
      </c>
      <c r="AQ53">
        <v>32</v>
      </c>
      <c r="AR53">
        <v>55</v>
      </c>
      <c r="AS53">
        <v>73</v>
      </c>
      <c r="AT53">
        <v>113</v>
      </c>
      <c r="AU53">
        <v>148</v>
      </c>
      <c r="AV53">
        <v>194</v>
      </c>
      <c r="AW53">
        <v>251</v>
      </c>
      <c r="AX53">
        <v>361</v>
      </c>
      <c r="AY53">
        <v>482</v>
      </c>
      <c r="AZ53">
        <v>643</v>
      </c>
      <c r="BA53">
        <v>890</v>
      </c>
      <c r="BB53">
        <v>1187</v>
      </c>
      <c r="BC53">
        <v>1467</v>
      </c>
      <c r="BD53">
        <v>1770</v>
      </c>
      <c r="BE53">
        <v>2154</v>
      </c>
      <c r="BF53">
        <v>2566</v>
      </c>
      <c r="BG53">
        <v>3010</v>
      </c>
      <c r="BH53">
        <v>3404</v>
      </c>
      <c r="BI53">
        <v>3775</v>
      </c>
      <c r="BJ53">
        <v>4161</v>
      </c>
      <c r="BK53">
        <v>4536</v>
      </c>
      <c r="BL53">
        <v>4976</v>
      </c>
      <c r="BM53">
        <v>5347</v>
      </c>
      <c r="BN53">
        <v>5666</v>
      </c>
      <c r="BO53">
        <v>5969</v>
      </c>
      <c r="BP53">
        <v>6293</v>
      </c>
      <c r="BQ53">
        <v>6653</v>
      </c>
      <c r="BR53">
        <v>7017</v>
      </c>
      <c r="BS53">
        <v>7308</v>
      </c>
      <c r="BT53">
        <v>7557</v>
      </c>
      <c r="BU53">
        <v>7760</v>
      </c>
      <c r="BV53">
        <v>7948</v>
      </c>
      <c r="BW53">
        <v>8114</v>
      </c>
      <c r="BX53">
        <v>8251</v>
      </c>
      <c r="BY53">
        <v>8354</v>
      </c>
      <c r="BZ53">
        <v>8440</v>
      </c>
      <c r="CA53">
        <v>8525</v>
      </c>
      <c r="CB53">
        <v>8604</v>
      </c>
      <c r="CC53">
        <v>8652</v>
      </c>
      <c r="CD53">
        <v>8682</v>
      </c>
      <c r="CE53">
        <v>8714</v>
      </c>
      <c r="CF53">
        <v>8743</v>
      </c>
      <c r="CG53">
        <v>8753</v>
      </c>
      <c r="CH53">
        <v>8760</v>
      </c>
      <c r="CI53">
        <v>8760</v>
      </c>
      <c r="CJ53">
        <v>8760</v>
      </c>
      <c r="CK53">
        <v>8760</v>
      </c>
      <c r="CL53">
        <v>8760</v>
      </c>
      <c r="CM53">
        <v>8760</v>
      </c>
      <c r="CN53">
        <v>8760</v>
      </c>
      <c r="CO53">
        <v>8760</v>
      </c>
      <c r="CP53">
        <v>8760</v>
      </c>
      <c r="CQ53">
        <v>8760</v>
      </c>
      <c r="CR53">
        <v>8760</v>
      </c>
      <c r="CS53">
        <v>8760</v>
      </c>
      <c r="CT53">
        <v>8760</v>
      </c>
      <c r="CU53">
        <v>8760</v>
      </c>
      <c r="CV53">
        <v>8760</v>
      </c>
      <c r="CW53">
        <v>8760</v>
      </c>
      <c r="CX53">
        <v>8760</v>
      </c>
      <c r="CY53">
        <v>8760</v>
      </c>
      <c r="CZ53">
        <v>8760</v>
      </c>
      <c r="DA53">
        <v>8760</v>
      </c>
      <c r="DB53">
        <v>8760</v>
      </c>
    </row>
    <row r="54" spans="1:106" x14ac:dyDescent="0.25">
      <c r="A54" s="13" t="s">
        <v>72</v>
      </c>
      <c r="B54" t="s">
        <v>76</v>
      </c>
      <c r="C54" t="s">
        <v>438</v>
      </c>
      <c r="D54" t="s">
        <v>511</v>
      </c>
      <c r="E54" t="s">
        <v>512</v>
      </c>
      <c r="F54">
        <v>102606</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4</v>
      </c>
      <c r="AM54">
        <v>6</v>
      </c>
      <c r="AN54">
        <v>15</v>
      </c>
      <c r="AO54">
        <v>20</v>
      </c>
      <c r="AP54">
        <v>24</v>
      </c>
      <c r="AQ54">
        <v>53</v>
      </c>
      <c r="AR54">
        <v>85</v>
      </c>
      <c r="AS54">
        <v>119</v>
      </c>
      <c r="AT54">
        <v>163</v>
      </c>
      <c r="AU54">
        <v>215</v>
      </c>
      <c r="AV54">
        <v>298</v>
      </c>
      <c r="AW54">
        <v>396</v>
      </c>
      <c r="AX54">
        <v>535</v>
      </c>
      <c r="AY54">
        <v>678</v>
      </c>
      <c r="AZ54">
        <v>805</v>
      </c>
      <c r="BA54">
        <v>988</v>
      </c>
      <c r="BB54">
        <v>1226</v>
      </c>
      <c r="BC54">
        <v>1516</v>
      </c>
      <c r="BD54">
        <v>1947</v>
      </c>
      <c r="BE54">
        <v>2429</v>
      </c>
      <c r="BF54">
        <v>2867</v>
      </c>
      <c r="BG54">
        <v>3234</v>
      </c>
      <c r="BH54">
        <v>3551</v>
      </c>
      <c r="BI54">
        <v>3815</v>
      </c>
      <c r="BJ54">
        <v>4133</v>
      </c>
      <c r="BK54">
        <v>4487</v>
      </c>
      <c r="BL54">
        <v>4845</v>
      </c>
      <c r="BM54">
        <v>5231</v>
      </c>
      <c r="BN54">
        <v>5592</v>
      </c>
      <c r="BO54">
        <v>5927</v>
      </c>
      <c r="BP54">
        <v>6244</v>
      </c>
      <c r="BQ54">
        <v>6616</v>
      </c>
      <c r="BR54">
        <v>7034</v>
      </c>
      <c r="BS54">
        <v>7343</v>
      </c>
      <c r="BT54">
        <v>7621</v>
      </c>
      <c r="BU54">
        <v>7888</v>
      </c>
      <c r="BV54">
        <v>8086</v>
      </c>
      <c r="BW54">
        <v>8237</v>
      </c>
      <c r="BX54">
        <v>8380</v>
      </c>
      <c r="BY54">
        <v>8499</v>
      </c>
      <c r="BZ54">
        <v>8585</v>
      </c>
      <c r="CA54">
        <v>8637</v>
      </c>
      <c r="CB54">
        <v>8673</v>
      </c>
      <c r="CC54">
        <v>8705</v>
      </c>
      <c r="CD54">
        <v>8727</v>
      </c>
      <c r="CE54">
        <v>8741</v>
      </c>
      <c r="CF54">
        <v>8749</v>
      </c>
      <c r="CG54">
        <v>8755</v>
      </c>
      <c r="CH54">
        <v>8760</v>
      </c>
      <c r="CI54">
        <v>8760</v>
      </c>
      <c r="CJ54">
        <v>8760</v>
      </c>
      <c r="CK54">
        <v>8760</v>
      </c>
      <c r="CL54">
        <v>8760</v>
      </c>
      <c r="CM54">
        <v>8760</v>
      </c>
      <c r="CN54">
        <v>8760</v>
      </c>
      <c r="CO54">
        <v>8760</v>
      </c>
      <c r="CP54">
        <v>8760</v>
      </c>
      <c r="CQ54">
        <v>8760</v>
      </c>
      <c r="CR54">
        <v>8760</v>
      </c>
      <c r="CS54">
        <v>8760</v>
      </c>
      <c r="CT54">
        <v>8760</v>
      </c>
      <c r="CU54">
        <v>8760</v>
      </c>
      <c r="CV54">
        <v>8760</v>
      </c>
      <c r="CW54">
        <v>8760</v>
      </c>
      <c r="CX54">
        <v>8760</v>
      </c>
      <c r="CY54">
        <v>8760</v>
      </c>
      <c r="CZ54">
        <v>8760</v>
      </c>
      <c r="DA54">
        <v>8760</v>
      </c>
      <c r="DB54">
        <v>8760</v>
      </c>
    </row>
    <row r="55" spans="1:106" x14ac:dyDescent="0.25">
      <c r="A55" s="13" t="s">
        <v>73</v>
      </c>
      <c r="B55" t="s">
        <v>77</v>
      </c>
      <c r="C55" t="s">
        <v>438</v>
      </c>
      <c r="D55" t="s">
        <v>362</v>
      </c>
      <c r="E55" t="s">
        <v>363</v>
      </c>
      <c r="F55">
        <v>102417</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1</v>
      </c>
      <c r="AL55">
        <v>6</v>
      </c>
      <c r="AM55">
        <v>21</v>
      </c>
      <c r="AN55">
        <v>35</v>
      </c>
      <c r="AO55">
        <v>47</v>
      </c>
      <c r="AP55">
        <v>67</v>
      </c>
      <c r="AQ55">
        <v>85</v>
      </c>
      <c r="AR55">
        <v>103</v>
      </c>
      <c r="AS55">
        <v>125</v>
      </c>
      <c r="AT55">
        <v>158</v>
      </c>
      <c r="AU55">
        <v>199</v>
      </c>
      <c r="AV55">
        <v>238</v>
      </c>
      <c r="AW55">
        <v>305</v>
      </c>
      <c r="AX55">
        <v>414</v>
      </c>
      <c r="AY55">
        <v>538</v>
      </c>
      <c r="AZ55">
        <v>698</v>
      </c>
      <c r="BA55">
        <v>959</v>
      </c>
      <c r="BB55">
        <v>1241</v>
      </c>
      <c r="BC55">
        <v>1546</v>
      </c>
      <c r="BD55">
        <v>1871</v>
      </c>
      <c r="BE55">
        <v>2292</v>
      </c>
      <c r="BF55">
        <v>2664</v>
      </c>
      <c r="BG55">
        <v>3072</v>
      </c>
      <c r="BH55">
        <v>3482</v>
      </c>
      <c r="BI55">
        <v>3882</v>
      </c>
      <c r="BJ55">
        <v>4226</v>
      </c>
      <c r="BK55">
        <v>4587</v>
      </c>
      <c r="BL55">
        <v>4903</v>
      </c>
      <c r="BM55">
        <v>5188</v>
      </c>
      <c r="BN55">
        <v>5479</v>
      </c>
      <c r="BO55">
        <v>5803</v>
      </c>
      <c r="BP55">
        <v>6096</v>
      </c>
      <c r="BQ55">
        <v>6451</v>
      </c>
      <c r="BR55">
        <v>6797</v>
      </c>
      <c r="BS55">
        <v>7094</v>
      </c>
      <c r="BT55">
        <v>7360</v>
      </c>
      <c r="BU55">
        <v>7627</v>
      </c>
      <c r="BV55">
        <v>7818</v>
      </c>
      <c r="BW55">
        <v>8026</v>
      </c>
      <c r="BX55">
        <v>8211</v>
      </c>
      <c r="BY55">
        <v>8363</v>
      </c>
      <c r="BZ55">
        <v>8465</v>
      </c>
      <c r="CA55">
        <v>8549</v>
      </c>
      <c r="CB55">
        <v>8609</v>
      </c>
      <c r="CC55">
        <v>8654</v>
      </c>
      <c r="CD55">
        <v>8688</v>
      </c>
      <c r="CE55">
        <v>8718</v>
      </c>
      <c r="CF55">
        <v>8733</v>
      </c>
      <c r="CG55">
        <v>8751</v>
      </c>
      <c r="CH55">
        <v>8760</v>
      </c>
      <c r="CI55">
        <v>8760</v>
      </c>
      <c r="CJ55">
        <v>8760</v>
      </c>
      <c r="CK55">
        <v>8760</v>
      </c>
      <c r="CL55">
        <v>8760</v>
      </c>
      <c r="CM55">
        <v>8760</v>
      </c>
      <c r="CN55">
        <v>8760</v>
      </c>
      <c r="CO55">
        <v>8760</v>
      </c>
      <c r="CP55">
        <v>8760</v>
      </c>
      <c r="CQ55">
        <v>8760</v>
      </c>
      <c r="CR55">
        <v>8760</v>
      </c>
      <c r="CS55">
        <v>8760</v>
      </c>
      <c r="CT55">
        <v>8760</v>
      </c>
      <c r="CU55">
        <v>8760</v>
      </c>
      <c r="CV55">
        <v>8760</v>
      </c>
      <c r="CW55">
        <v>8760</v>
      </c>
      <c r="CX55">
        <v>8760</v>
      </c>
      <c r="CY55">
        <v>8760</v>
      </c>
      <c r="CZ55">
        <v>8760</v>
      </c>
      <c r="DA55">
        <v>8760</v>
      </c>
      <c r="DB55">
        <v>8760</v>
      </c>
    </row>
    <row r="56" spans="1:106" x14ac:dyDescent="0.25">
      <c r="A56" s="13" t="s">
        <v>74</v>
      </c>
      <c r="B56" t="s">
        <v>78</v>
      </c>
      <c r="C56" t="s">
        <v>438</v>
      </c>
      <c r="D56" t="s">
        <v>513</v>
      </c>
      <c r="E56" t="s">
        <v>514</v>
      </c>
      <c r="F56">
        <v>102107</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8</v>
      </c>
      <c r="AR56">
        <v>17</v>
      </c>
      <c r="AS56">
        <v>30</v>
      </c>
      <c r="AT56">
        <v>43</v>
      </c>
      <c r="AU56">
        <v>67</v>
      </c>
      <c r="AV56">
        <v>105</v>
      </c>
      <c r="AW56">
        <v>132</v>
      </c>
      <c r="AX56">
        <v>158</v>
      </c>
      <c r="AY56">
        <v>205</v>
      </c>
      <c r="AZ56">
        <v>303</v>
      </c>
      <c r="BA56">
        <v>395</v>
      </c>
      <c r="BB56">
        <v>550</v>
      </c>
      <c r="BC56">
        <v>750</v>
      </c>
      <c r="BD56">
        <v>979</v>
      </c>
      <c r="BE56">
        <v>1340</v>
      </c>
      <c r="BF56">
        <v>1806</v>
      </c>
      <c r="BG56">
        <v>2241</v>
      </c>
      <c r="BH56">
        <v>2780</v>
      </c>
      <c r="BI56">
        <v>3256</v>
      </c>
      <c r="BJ56">
        <v>3687</v>
      </c>
      <c r="BK56">
        <v>4065</v>
      </c>
      <c r="BL56">
        <v>4397</v>
      </c>
      <c r="BM56">
        <v>4733</v>
      </c>
      <c r="BN56">
        <v>5080</v>
      </c>
      <c r="BO56">
        <v>5454</v>
      </c>
      <c r="BP56">
        <v>5906</v>
      </c>
      <c r="BQ56">
        <v>6343</v>
      </c>
      <c r="BR56">
        <v>6741</v>
      </c>
      <c r="BS56">
        <v>7086</v>
      </c>
      <c r="BT56">
        <v>7391</v>
      </c>
      <c r="BU56">
        <v>7684</v>
      </c>
      <c r="BV56">
        <v>7967</v>
      </c>
      <c r="BW56">
        <v>8181</v>
      </c>
      <c r="BX56">
        <v>8317</v>
      </c>
      <c r="BY56">
        <v>8436</v>
      </c>
      <c r="BZ56">
        <v>8529</v>
      </c>
      <c r="CA56">
        <v>8588</v>
      </c>
      <c r="CB56">
        <v>8646</v>
      </c>
      <c r="CC56">
        <v>8697</v>
      </c>
      <c r="CD56">
        <v>8735</v>
      </c>
      <c r="CE56">
        <v>8755</v>
      </c>
      <c r="CF56">
        <v>8760</v>
      </c>
      <c r="CG56">
        <v>8760</v>
      </c>
      <c r="CH56">
        <v>8760</v>
      </c>
      <c r="CI56">
        <v>8760</v>
      </c>
      <c r="CJ56">
        <v>8760</v>
      </c>
      <c r="CK56">
        <v>8760</v>
      </c>
      <c r="CL56">
        <v>8760</v>
      </c>
      <c r="CM56">
        <v>8760</v>
      </c>
      <c r="CN56">
        <v>8760</v>
      </c>
      <c r="CO56">
        <v>8760</v>
      </c>
      <c r="CP56">
        <v>8760</v>
      </c>
      <c r="CQ56">
        <v>8760</v>
      </c>
      <c r="CR56">
        <v>8760</v>
      </c>
      <c r="CS56">
        <v>8760</v>
      </c>
      <c r="CT56">
        <v>8760</v>
      </c>
      <c r="CU56">
        <v>8760</v>
      </c>
      <c r="CV56">
        <v>8760</v>
      </c>
      <c r="CW56">
        <v>8760</v>
      </c>
      <c r="CX56">
        <v>8760</v>
      </c>
      <c r="CY56">
        <v>8760</v>
      </c>
      <c r="CZ56">
        <v>8760</v>
      </c>
      <c r="DA56">
        <v>8760</v>
      </c>
      <c r="DB56">
        <v>8760</v>
      </c>
    </row>
    <row r="57" spans="1:106" x14ac:dyDescent="0.25">
      <c r="A57" s="13" t="s">
        <v>75</v>
      </c>
      <c r="B57" t="s">
        <v>79</v>
      </c>
      <c r="C57" t="s">
        <v>438</v>
      </c>
      <c r="D57" t="s">
        <v>515</v>
      </c>
      <c r="E57" t="s">
        <v>516</v>
      </c>
      <c r="F57">
        <v>102244</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4</v>
      </c>
      <c r="AP57">
        <v>12</v>
      </c>
      <c r="AQ57">
        <v>17</v>
      </c>
      <c r="AR57">
        <v>27</v>
      </c>
      <c r="AS57">
        <v>33</v>
      </c>
      <c r="AT57">
        <v>52</v>
      </c>
      <c r="AU57">
        <v>90</v>
      </c>
      <c r="AV57">
        <v>141</v>
      </c>
      <c r="AW57">
        <v>206</v>
      </c>
      <c r="AX57">
        <v>290</v>
      </c>
      <c r="AY57">
        <v>395</v>
      </c>
      <c r="AZ57">
        <v>519</v>
      </c>
      <c r="BA57">
        <v>671</v>
      </c>
      <c r="BB57">
        <v>879</v>
      </c>
      <c r="BC57">
        <v>1137</v>
      </c>
      <c r="BD57">
        <v>1525</v>
      </c>
      <c r="BE57">
        <v>2039</v>
      </c>
      <c r="BF57">
        <v>2574</v>
      </c>
      <c r="BG57">
        <v>3040</v>
      </c>
      <c r="BH57">
        <v>3455</v>
      </c>
      <c r="BI57">
        <v>3772</v>
      </c>
      <c r="BJ57">
        <v>4109</v>
      </c>
      <c r="BK57">
        <v>4409</v>
      </c>
      <c r="BL57">
        <v>4699</v>
      </c>
      <c r="BM57">
        <v>5040</v>
      </c>
      <c r="BN57">
        <v>5434</v>
      </c>
      <c r="BO57">
        <v>5843</v>
      </c>
      <c r="BP57">
        <v>6242</v>
      </c>
      <c r="BQ57">
        <v>6648</v>
      </c>
      <c r="BR57">
        <v>7010</v>
      </c>
      <c r="BS57">
        <v>7374</v>
      </c>
      <c r="BT57">
        <v>7683</v>
      </c>
      <c r="BU57">
        <v>7973</v>
      </c>
      <c r="BV57">
        <v>8185</v>
      </c>
      <c r="BW57">
        <v>8353</v>
      </c>
      <c r="BX57">
        <v>8459</v>
      </c>
      <c r="BY57">
        <v>8537</v>
      </c>
      <c r="BZ57">
        <v>8584</v>
      </c>
      <c r="CA57">
        <v>8637</v>
      </c>
      <c r="CB57">
        <v>8678</v>
      </c>
      <c r="CC57">
        <v>8714</v>
      </c>
      <c r="CD57">
        <v>8741</v>
      </c>
      <c r="CE57">
        <v>8755</v>
      </c>
      <c r="CF57">
        <v>8760</v>
      </c>
      <c r="CG57">
        <v>8760</v>
      </c>
      <c r="CH57">
        <v>8760</v>
      </c>
      <c r="CI57">
        <v>8760</v>
      </c>
      <c r="CJ57">
        <v>8760</v>
      </c>
      <c r="CK57">
        <v>8760</v>
      </c>
      <c r="CL57">
        <v>8760</v>
      </c>
      <c r="CM57">
        <v>8760</v>
      </c>
      <c r="CN57">
        <v>8760</v>
      </c>
      <c r="CO57">
        <v>8760</v>
      </c>
      <c r="CP57">
        <v>8760</v>
      </c>
      <c r="CQ57">
        <v>8760</v>
      </c>
      <c r="CR57">
        <v>8760</v>
      </c>
      <c r="CS57">
        <v>8760</v>
      </c>
      <c r="CT57">
        <v>8760</v>
      </c>
      <c r="CU57">
        <v>8760</v>
      </c>
      <c r="CV57">
        <v>8760</v>
      </c>
      <c r="CW57">
        <v>8760</v>
      </c>
      <c r="CX57">
        <v>8760</v>
      </c>
      <c r="CY57">
        <v>8760</v>
      </c>
      <c r="CZ57">
        <v>8760</v>
      </c>
      <c r="DA57">
        <v>8760</v>
      </c>
      <c r="DB57">
        <v>8760</v>
      </c>
    </row>
    <row r="58" spans="1:106" x14ac:dyDescent="0.25">
      <c r="A58" s="13" t="s">
        <v>76</v>
      </c>
      <c r="B58" t="s">
        <v>80</v>
      </c>
      <c r="C58" t="s">
        <v>438</v>
      </c>
      <c r="D58" t="s">
        <v>517</v>
      </c>
      <c r="E58" t="s">
        <v>518</v>
      </c>
      <c r="F58">
        <v>102603</v>
      </c>
      <c r="G58">
        <v>0</v>
      </c>
      <c r="H58">
        <v>0</v>
      </c>
      <c r="I58">
        <v>0</v>
      </c>
      <c r="J58">
        <v>0</v>
      </c>
      <c r="K58">
        <v>0</v>
      </c>
      <c r="L58">
        <v>0</v>
      </c>
      <c r="M58">
        <v>0</v>
      </c>
      <c r="N58">
        <v>0</v>
      </c>
      <c r="O58">
        <v>0</v>
      </c>
      <c r="P58">
        <v>0</v>
      </c>
      <c r="Q58">
        <v>0</v>
      </c>
      <c r="R58">
        <v>0</v>
      </c>
      <c r="S58">
        <v>0</v>
      </c>
      <c r="T58">
        <v>0</v>
      </c>
      <c r="U58">
        <v>0</v>
      </c>
      <c r="V58">
        <v>0</v>
      </c>
      <c r="W58">
        <v>0</v>
      </c>
      <c r="X58">
        <v>0</v>
      </c>
      <c r="Y58">
        <v>0</v>
      </c>
      <c r="Z58">
        <v>0</v>
      </c>
      <c r="AA58">
        <v>1</v>
      </c>
      <c r="AB58">
        <v>4</v>
      </c>
      <c r="AC58">
        <v>7</v>
      </c>
      <c r="AD58">
        <v>11</v>
      </c>
      <c r="AE58">
        <v>16</v>
      </c>
      <c r="AF58">
        <v>23</v>
      </c>
      <c r="AG58">
        <v>27</v>
      </c>
      <c r="AH58">
        <v>29</v>
      </c>
      <c r="AI58">
        <v>31</v>
      </c>
      <c r="AJ58">
        <v>43</v>
      </c>
      <c r="AK58">
        <v>56</v>
      </c>
      <c r="AL58">
        <v>70</v>
      </c>
      <c r="AM58">
        <v>83</v>
      </c>
      <c r="AN58">
        <v>96</v>
      </c>
      <c r="AO58">
        <v>112</v>
      </c>
      <c r="AP58">
        <v>130</v>
      </c>
      <c r="AQ58">
        <v>162</v>
      </c>
      <c r="AR58">
        <v>204</v>
      </c>
      <c r="AS58">
        <v>267</v>
      </c>
      <c r="AT58">
        <v>343</v>
      </c>
      <c r="AU58">
        <v>436</v>
      </c>
      <c r="AV58">
        <v>550</v>
      </c>
      <c r="AW58">
        <v>684</v>
      </c>
      <c r="AX58">
        <v>811</v>
      </c>
      <c r="AY58">
        <v>951</v>
      </c>
      <c r="AZ58">
        <v>1152</v>
      </c>
      <c r="BA58">
        <v>1403</v>
      </c>
      <c r="BB58">
        <v>1683</v>
      </c>
      <c r="BC58">
        <v>2040</v>
      </c>
      <c r="BD58">
        <v>2447</v>
      </c>
      <c r="BE58">
        <v>2853</v>
      </c>
      <c r="BF58">
        <v>3282</v>
      </c>
      <c r="BG58">
        <v>3684</v>
      </c>
      <c r="BH58">
        <v>4103</v>
      </c>
      <c r="BI58">
        <v>4447</v>
      </c>
      <c r="BJ58">
        <v>4698</v>
      </c>
      <c r="BK58">
        <v>4939</v>
      </c>
      <c r="BL58">
        <v>5222</v>
      </c>
      <c r="BM58">
        <v>5499</v>
      </c>
      <c r="BN58">
        <v>5782</v>
      </c>
      <c r="BO58">
        <v>6127</v>
      </c>
      <c r="BP58">
        <v>6444</v>
      </c>
      <c r="BQ58">
        <v>6783</v>
      </c>
      <c r="BR58">
        <v>7125</v>
      </c>
      <c r="BS58">
        <v>7437</v>
      </c>
      <c r="BT58">
        <v>7702</v>
      </c>
      <c r="BU58">
        <v>7916</v>
      </c>
      <c r="BV58">
        <v>8117</v>
      </c>
      <c r="BW58">
        <v>8282</v>
      </c>
      <c r="BX58">
        <v>8404</v>
      </c>
      <c r="BY58">
        <v>8503</v>
      </c>
      <c r="BZ58">
        <v>8569</v>
      </c>
      <c r="CA58">
        <v>8609</v>
      </c>
      <c r="CB58">
        <v>8648</v>
      </c>
      <c r="CC58">
        <v>8683</v>
      </c>
      <c r="CD58">
        <v>8705</v>
      </c>
      <c r="CE58">
        <v>8723</v>
      </c>
      <c r="CF58">
        <v>8737</v>
      </c>
      <c r="CG58">
        <v>8747</v>
      </c>
      <c r="CH58">
        <v>8752</v>
      </c>
      <c r="CI58">
        <v>8757</v>
      </c>
      <c r="CJ58">
        <v>8760</v>
      </c>
      <c r="CK58">
        <v>8760</v>
      </c>
      <c r="CL58">
        <v>8760</v>
      </c>
      <c r="CM58">
        <v>8760</v>
      </c>
      <c r="CN58">
        <v>8760</v>
      </c>
      <c r="CO58">
        <v>8760</v>
      </c>
      <c r="CP58">
        <v>8760</v>
      </c>
      <c r="CQ58">
        <v>8760</v>
      </c>
      <c r="CR58">
        <v>8760</v>
      </c>
      <c r="CS58">
        <v>8760</v>
      </c>
      <c r="CT58">
        <v>8760</v>
      </c>
      <c r="CU58">
        <v>8760</v>
      </c>
      <c r="CV58">
        <v>8760</v>
      </c>
      <c r="CW58">
        <v>8760</v>
      </c>
      <c r="CX58">
        <v>8760</v>
      </c>
      <c r="CY58">
        <v>8760</v>
      </c>
      <c r="CZ58">
        <v>8760</v>
      </c>
      <c r="DA58">
        <v>8760</v>
      </c>
      <c r="DB58">
        <v>8760</v>
      </c>
    </row>
    <row r="59" spans="1:106" x14ac:dyDescent="0.25">
      <c r="A59" s="13" t="s">
        <v>77</v>
      </c>
      <c r="B59" t="s">
        <v>81</v>
      </c>
      <c r="C59" t="s">
        <v>438</v>
      </c>
      <c r="D59" t="s">
        <v>519</v>
      </c>
      <c r="E59" t="s">
        <v>520</v>
      </c>
      <c r="F59">
        <v>102313</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5</v>
      </c>
      <c r="AO59">
        <v>8</v>
      </c>
      <c r="AP59">
        <v>15</v>
      </c>
      <c r="AQ59">
        <v>23</v>
      </c>
      <c r="AR59">
        <v>36</v>
      </c>
      <c r="AS59">
        <v>56</v>
      </c>
      <c r="AT59">
        <v>70</v>
      </c>
      <c r="AU59">
        <v>95</v>
      </c>
      <c r="AV59">
        <v>137</v>
      </c>
      <c r="AW59">
        <v>175</v>
      </c>
      <c r="AX59">
        <v>233</v>
      </c>
      <c r="AY59">
        <v>307</v>
      </c>
      <c r="AZ59">
        <v>403</v>
      </c>
      <c r="BA59">
        <v>545</v>
      </c>
      <c r="BB59">
        <v>731</v>
      </c>
      <c r="BC59">
        <v>973</v>
      </c>
      <c r="BD59">
        <v>1238</v>
      </c>
      <c r="BE59">
        <v>1549</v>
      </c>
      <c r="BF59">
        <v>1899</v>
      </c>
      <c r="BG59">
        <v>2406</v>
      </c>
      <c r="BH59">
        <v>2920</v>
      </c>
      <c r="BI59">
        <v>3330</v>
      </c>
      <c r="BJ59">
        <v>3763</v>
      </c>
      <c r="BK59">
        <v>4045</v>
      </c>
      <c r="BL59">
        <v>4297</v>
      </c>
      <c r="BM59">
        <v>4597</v>
      </c>
      <c r="BN59">
        <v>4935</v>
      </c>
      <c r="BO59">
        <v>5265</v>
      </c>
      <c r="BP59">
        <v>5701</v>
      </c>
      <c r="BQ59">
        <v>6091</v>
      </c>
      <c r="BR59">
        <v>6555</v>
      </c>
      <c r="BS59">
        <v>6993</v>
      </c>
      <c r="BT59">
        <v>7376</v>
      </c>
      <c r="BU59">
        <v>7732</v>
      </c>
      <c r="BV59">
        <v>8003</v>
      </c>
      <c r="BW59">
        <v>8206</v>
      </c>
      <c r="BX59">
        <v>8345</v>
      </c>
      <c r="BY59">
        <v>8431</v>
      </c>
      <c r="BZ59">
        <v>8491</v>
      </c>
      <c r="CA59">
        <v>8529</v>
      </c>
      <c r="CB59">
        <v>8595</v>
      </c>
      <c r="CC59">
        <v>8649</v>
      </c>
      <c r="CD59">
        <v>8688</v>
      </c>
      <c r="CE59">
        <v>8723</v>
      </c>
      <c r="CF59">
        <v>8744</v>
      </c>
      <c r="CG59">
        <v>8753</v>
      </c>
      <c r="CH59">
        <v>8760</v>
      </c>
      <c r="CI59">
        <v>8760</v>
      </c>
      <c r="CJ59">
        <v>8760</v>
      </c>
      <c r="CK59">
        <v>8760</v>
      </c>
      <c r="CL59">
        <v>8760</v>
      </c>
      <c r="CM59">
        <v>8760</v>
      </c>
      <c r="CN59">
        <v>8760</v>
      </c>
      <c r="CO59">
        <v>8760</v>
      </c>
      <c r="CP59">
        <v>8760</v>
      </c>
      <c r="CQ59">
        <v>8760</v>
      </c>
      <c r="CR59">
        <v>8760</v>
      </c>
      <c r="CS59">
        <v>8760</v>
      </c>
      <c r="CT59">
        <v>8760</v>
      </c>
      <c r="CU59">
        <v>8760</v>
      </c>
      <c r="CV59">
        <v>8760</v>
      </c>
      <c r="CW59">
        <v>8760</v>
      </c>
      <c r="CX59">
        <v>8760</v>
      </c>
      <c r="CY59">
        <v>8760</v>
      </c>
      <c r="CZ59">
        <v>8760</v>
      </c>
      <c r="DA59">
        <v>8760</v>
      </c>
      <c r="DB59">
        <v>8760</v>
      </c>
    </row>
    <row r="60" spans="1:106" x14ac:dyDescent="0.25">
      <c r="A60" s="13" t="s">
        <v>78</v>
      </c>
      <c r="B60" t="s">
        <v>82</v>
      </c>
      <c r="C60" t="s">
        <v>438</v>
      </c>
      <c r="D60" t="s">
        <v>521</v>
      </c>
      <c r="E60" t="s">
        <v>522</v>
      </c>
      <c r="F60">
        <v>102215</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1</v>
      </c>
      <c r="AS60">
        <v>8</v>
      </c>
      <c r="AT60">
        <v>22</v>
      </c>
      <c r="AU60">
        <v>53</v>
      </c>
      <c r="AV60">
        <v>112</v>
      </c>
      <c r="AW60">
        <v>177</v>
      </c>
      <c r="AX60">
        <v>263</v>
      </c>
      <c r="AY60">
        <v>356</v>
      </c>
      <c r="AZ60">
        <v>502</v>
      </c>
      <c r="BA60">
        <v>676</v>
      </c>
      <c r="BB60">
        <v>938</v>
      </c>
      <c r="BC60">
        <v>1283</v>
      </c>
      <c r="BD60">
        <v>1761</v>
      </c>
      <c r="BE60">
        <v>2280</v>
      </c>
      <c r="BF60">
        <v>2695</v>
      </c>
      <c r="BG60">
        <v>3097</v>
      </c>
      <c r="BH60">
        <v>3530</v>
      </c>
      <c r="BI60">
        <v>3902</v>
      </c>
      <c r="BJ60">
        <v>4272</v>
      </c>
      <c r="BK60">
        <v>4598</v>
      </c>
      <c r="BL60">
        <v>4956</v>
      </c>
      <c r="BM60">
        <v>5351</v>
      </c>
      <c r="BN60">
        <v>5802</v>
      </c>
      <c r="BO60">
        <v>6202</v>
      </c>
      <c r="BP60">
        <v>6551</v>
      </c>
      <c r="BQ60">
        <v>6893</v>
      </c>
      <c r="BR60">
        <v>7223</v>
      </c>
      <c r="BS60">
        <v>7502</v>
      </c>
      <c r="BT60">
        <v>7778</v>
      </c>
      <c r="BU60">
        <v>8032</v>
      </c>
      <c r="BV60">
        <v>8226</v>
      </c>
      <c r="BW60">
        <v>8372</v>
      </c>
      <c r="BX60">
        <v>8474</v>
      </c>
      <c r="BY60">
        <v>8551</v>
      </c>
      <c r="BZ60">
        <v>8611</v>
      </c>
      <c r="CA60">
        <v>8646</v>
      </c>
      <c r="CB60">
        <v>8679</v>
      </c>
      <c r="CC60">
        <v>8721</v>
      </c>
      <c r="CD60">
        <v>8743</v>
      </c>
      <c r="CE60">
        <v>8755</v>
      </c>
      <c r="CF60">
        <v>8758</v>
      </c>
      <c r="CG60">
        <v>8760</v>
      </c>
      <c r="CH60">
        <v>8760</v>
      </c>
      <c r="CI60">
        <v>8760</v>
      </c>
      <c r="CJ60">
        <v>8760</v>
      </c>
      <c r="CK60">
        <v>8760</v>
      </c>
      <c r="CL60">
        <v>8760</v>
      </c>
      <c r="CM60">
        <v>8760</v>
      </c>
      <c r="CN60">
        <v>8760</v>
      </c>
      <c r="CO60">
        <v>8760</v>
      </c>
      <c r="CP60">
        <v>8760</v>
      </c>
      <c r="CQ60">
        <v>8760</v>
      </c>
      <c r="CR60">
        <v>8760</v>
      </c>
      <c r="CS60">
        <v>8760</v>
      </c>
      <c r="CT60">
        <v>8760</v>
      </c>
      <c r="CU60">
        <v>8760</v>
      </c>
      <c r="CV60">
        <v>8760</v>
      </c>
      <c r="CW60">
        <v>8760</v>
      </c>
      <c r="CX60">
        <v>8760</v>
      </c>
      <c r="CY60">
        <v>8760</v>
      </c>
      <c r="CZ60">
        <v>8760</v>
      </c>
      <c r="DA60">
        <v>8760</v>
      </c>
      <c r="DB60">
        <v>8760</v>
      </c>
    </row>
    <row r="61" spans="1:106" x14ac:dyDescent="0.25">
      <c r="A61" s="13" t="s">
        <v>79</v>
      </c>
      <c r="B61" t="s">
        <v>83</v>
      </c>
      <c r="C61" t="s">
        <v>438</v>
      </c>
      <c r="D61" t="s">
        <v>523</v>
      </c>
      <c r="E61" t="s">
        <v>524</v>
      </c>
      <c r="F61">
        <v>102121</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6</v>
      </c>
      <c r="BA61">
        <v>25</v>
      </c>
      <c r="BB61">
        <v>59</v>
      </c>
      <c r="BC61">
        <v>182</v>
      </c>
      <c r="BD61">
        <v>440</v>
      </c>
      <c r="BE61">
        <v>778</v>
      </c>
      <c r="BF61">
        <v>1175</v>
      </c>
      <c r="BG61">
        <v>1683</v>
      </c>
      <c r="BH61">
        <v>2352</v>
      </c>
      <c r="BI61">
        <v>2863</v>
      </c>
      <c r="BJ61">
        <v>3416</v>
      </c>
      <c r="BK61">
        <v>3942</v>
      </c>
      <c r="BL61">
        <v>4280</v>
      </c>
      <c r="BM61">
        <v>4551</v>
      </c>
      <c r="BN61">
        <v>4952</v>
      </c>
      <c r="BO61">
        <v>5330</v>
      </c>
      <c r="BP61">
        <v>5667</v>
      </c>
      <c r="BQ61">
        <v>6069</v>
      </c>
      <c r="BR61">
        <v>6466</v>
      </c>
      <c r="BS61">
        <v>6941</v>
      </c>
      <c r="BT61">
        <v>7379</v>
      </c>
      <c r="BU61">
        <v>7749</v>
      </c>
      <c r="BV61">
        <v>8112</v>
      </c>
      <c r="BW61">
        <v>8369</v>
      </c>
      <c r="BX61">
        <v>8536</v>
      </c>
      <c r="BY61">
        <v>8654</v>
      </c>
      <c r="BZ61">
        <v>8711</v>
      </c>
      <c r="CA61">
        <v>8748</v>
      </c>
      <c r="CB61">
        <v>8760</v>
      </c>
      <c r="CC61">
        <v>8760</v>
      </c>
      <c r="CD61">
        <v>8760</v>
      </c>
      <c r="CE61">
        <v>8760</v>
      </c>
      <c r="CF61">
        <v>8760</v>
      </c>
      <c r="CG61">
        <v>8760</v>
      </c>
      <c r="CH61">
        <v>8760</v>
      </c>
      <c r="CI61">
        <v>8760</v>
      </c>
      <c r="CJ61">
        <v>8760</v>
      </c>
      <c r="CK61">
        <v>8760</v>
      </c>
      <c r="CL61">
        <v>8760</v>
      </c>
      <c r="CM61">
        <v>8760</v>
      </c>
      <c r="CN61">
        <v>8760</v>
      </c>
      <c r="CO61">
        <v>8760</v>
      </c>
      <c r="CP61">
        <v>8760</v>
      </c>
      <c r="CQ61">
        <v>8760</v>
      </c>
      <c r="CR61">
        <v>8760</v>
      </c>
      <c r="CS61">
        <v>8760</v>
      </c>
      <c r="CT61">
        <v>8760</v>
      </c>
      <c r="CU61">
        <v>8760</v>
      </c>
      <c r="CV61">
        <v>8760</v>
      </c>
      <c r="CW61">
        <v>8760</v>
      </c>
      <c r="CX61">
        <v>8760</v>
      </c>
      <c r="CY61">
        <v>8760</v>
      </c>
      <c r="CZ61">
        <v>8760</v>
      </c>
      <c r="DA61">
        <v>8760</v>
      </c>
      <c r="DB61">
        <v>8760</v>
      </c>
    </row>
    <row r="62" spans="1:106" x14ac:dyDescent="0.25">
      <c r="A62" s="13" t="s">
        <v>80</v>
      </c>
      <c r="B62" t="s">
        <v>84</v>
      </c>
      <c r="C62" t="s">
        <v>438</v>
      </c>
      <c r="D62" t="s">
        <v>525</v>
      </c>
      <c r="E62" t="s">
        <v>526</v>
      </c>
      <c r="F62">
        <v>102708</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4</v>
      </c>
      <c r="AD62">
        <v>9</v>
      </c>
      <c r="AE62">
        <v>13</v>
      </c>
      <c r="AF62">
        <v>16</v>
      </c>
      <c r="AG62">
        <v>18</v>
      </c>
      <c r="AH62">
        <v>20</v>
      </c>
      <c r="AI62">
        <v>23</v>
      </c>
      <c r="AJ62">
        <v>42</v>
      </c>
      <c r="AK62">
        <v>66</v>
      </c>
      <c r="AL62">
        <v>76</v>
      </c>
      <c r="AM62">
        <v>85</v>
      </c>
      <c r="AN62">
        <v>101</v>
      </c>
      <c r="AO62">
        <v>114</v>
      </c>
      <c r="AP62">
        <v>131</v>
      </c>
      <c r="AQ62">
        <v>170</v>
      </c>
      <c r="AR62">
        <v>238</v>
      </c>
      <c r="AS62">
        <v>320</v>
      </c>
      <c r="AT62">
        <v>401</v>
      </c>
      <c r="AU62">
        <v>492</v>
      </c>
      <c r="AV62">
        <v>606</v>
      </c>
      <c r="AW62">
        <v>717</v>
      </c>
      <c r="AX62">
        <v>847</v>
      </c>
      <c r="AY62">
        <v>1051</v>
      </c>
      <c r="AZ62">
        <v>1246</v>
      </c>
      <c r="BA62">
        <v>1520</v>
      </c>
      <c r="BB62">
        <v>1794</v>
      </c>
      <c r="BC62">
        <v>2117</v>
      </c>
      <c r="BD62">
        <v>2464</v>
      </c>
      <c r="BE62">
        <v>2892</v>
      </c>
      <c r="BF62">
        <v>3293</v>
      </c>
      <c r="BG62">
        <v>3707</v>
      </c>
      <c r="BH62">
        <v>4049</v>
      </c>
      <c r="BI62">
        <v>4400</v>
      </c>
      <c r="BJ62">
        <v>4683</v>
      </c>
      <c r="BK62">
        <v>5034</v>
      </c>
      <c r="BL62">
        <v>5370</v>
      </c>
      <c r="BM62">
        <v>5675</v>
      </c>
      <c r="BN62">
        <v>6020</v>
      </c>
      <c r="BO62">
        <v>6368</v>
      </c>
      <c r="BP62">
        <v>6687</v>
      </c>
      <c r="BQ62">
        <v>6971</v>
      </c>
      <c r="BR62">
        <v>7246</v>
      </c>
      <c r="BS62">
        <v>7536</v>
      </c>
      <c r="BT62">
        <v>7794</v>
      </c>
      <c r="BU62">
        <v>8002</v>
      </c>
      <c r="BV62">
        <v>8209</v>
      </c>
      <c r="BW62">
        <v>8371</v>
      </c>
      <c r="BX62">
        <v>8479</v>
      </c>
      <c r="BY62">
        <v>8581</v>
      </c>
      <c r="BZ62">
        <v>8666</v>
      </c>
      <c r="CA62">
        <v>8714</v>
      </c>
      <c r="CB62">
        <v>8738</v>
      </c>
      <c r="CC62">
        <v>8755</v>
      </c>
      <c r="CD62">
        <v>8760</v>
      </c>
      <c r="CE62">
        <v>8760</v>
      </c>
      <c r="CF62">
        <v>8760</v>
      </c>
      <c r="CG62">
        <v>8760</v>
      </c>
      <c r="CH62">
        <v>8760</v>
      </c>
      <c r="CI62">
        <v>8760</v>
      </c>
      <c r="CJ62">
        <v>8760</v>
      </c>
      <c r="CK62">
        <v>8760</v>
      </c>
      <c r="CL62">
        <v>8760</v>
      </c>
      <c r="CM62">
        <v>8760</v>
      </c>
      <c r="CN62">
        <v>8760</v>
      </c>
      <c r="CO62">
        <v>8760</v>
      </c>
      <c r="CP62">
        <v>8760</v>
      </c>
      <c r="CQ62">
        <v>8760</v>
      </c>
      <c r="CR62">
        <v>8760</v>
      </c>
      <c r="CS62">
        <v>8760</v>
      </c>
      <c r="CT62">
        <v>8760</v>
      </c>
      <c r="CU62">
        <v>8760</v>
      </c>
      <c r="CV62">
        <v>8760</v>
      </c>
      <c r="CW62">
        <v>8760</v>
      </c>
      <c r="CX62">
        <v>8760</v>
      </c>
      <c r="CY62">
        <v>8760</v>
      </c>
      <c r="CZ62">
        <v>8760</v>
      </c>
      <c r="DA62">
        <v>8760</v>
      </c>
      <c r="DB62">
        <v>8760</v>
      </c>
    </row>
    <row r="63" spans="1:106" x14ac:dyDescent="0.25">
      <c r="A63" s="13" t="s">
        <v>81</v>
      </c>
      <c r="B63" t="s">
        <v>86</v>
      </c>
      <c r="C63" t="s">
        <v>438</v>
      </c>
      <c r="D63" t="s">
        <v>527</v>
      </c>
      <c r="E63" t="s">
        <v>528</v>
      </c>
      <c r="F63">
        <v>102509</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15</v>
      </c>
      <c r="AJ63">
        <v>35</v>
      </c>
      <c r="AK63">
        <v>52</v>
      </c>
      <c r="AL63">
        <v>73</v>
      </c>
      <c r="AM63">
        <v>91</v>
      </c>
      <c r="AN63">
        <v>118</v>
      </c>
      <c r="AO63">
        <v>141</v>
      </c>
      <c r="AP63">
        <v>172</v>
      </c>
      <c r="AQ63">
        <v>206</v>
      </c>
      <c r="AR63">
        <v>258</v>
      </c>
      <c r="AS63">
        <v>302</v>
      </c>
      <c r="AT63">
        <v>360</v>
      </c>
      <c r="AU63">
        <v>442</v>
      </c>
      <c r="AV63">
        <v>539</v>
      </c>
      <c r="AW63">
        <v>674</v>
      </c>
      <c r="AX63">
        <v>809</v>
      </c>
      <c r="AY63">
        <v>1006</v>
      </c>
      <c r="AZ63">
        <v>1232</v>
      </c>
      <c r="BA63">
        <v>1500</v>
      </c>
      <c r="BB63">
        <v>1793</v>
      </c>
      <c r="BC63">
        <v>2089</v>
      </c>
      <c r="BD63">
        <v>2501</v>
      </c>
      <c r="BE63">
        <v>2901</v>
      </c>
      <c r="BF63">
        <v>3292</v>
      </c>
      <c r="BG63">
        <v>3680</v>
      </c>
      <c r="BH63">
        <v>3973</v>
      </c>
      <c r="BI63">
        <v>4248</v>
      </c>
      <c r="BJ63">
        <v>4564</v>
      </c>
      <c r="BK63">
        <v>4974</v>
      </c>
      <c r="BL63">
        <v>5316</v>
      </c>
      <c r="BM63">
        <v>5671</v>
      </c>
      <c r="BN63">
        <v>6013</v>
      </c>
      <c r="BO63">
        <v>6393</v>
      </c>
      <c r="BP63">
        <v>6731</v>
      </c>
      <c r="BQ63">
        <v>7019</v>
      </c>
      <c r="BR63">
        <v>7329</v>
      </c>
      <c r="BS63">
        <v>7603</v>
      </c>
      <c r="BT63">
        <v>7862</v>
      </c>
      <c r="BU63">
        <v>8076</v>
      </c>
      <c r="BV63">
        <v>8248</v>
      </c>
      <c r="BW63">
        <v>8413</v>
      </c>
      <c r="BX63">
        <v>8541</v>
      </c>
      <c r="BY63">
        <v>8634</v>
      </c>
      <c r="BZ63">
        <v>8701</v>
      </c>
      <c r="CA63">
        <v>8738</v>
      </c>
      <c r="CB63">
        <v>8751</v>
      </c>
      <c r="CC63">
        <v>8760</v>
      </c>
      <c r="CD63">
        <v>8760</v>
      </c>
      <c r="CE63">
        <v>8760</v>
      </c>
      <c r="CF63">
        <v>8760</v>
      </c>
      <c r="CG63">
        <v>8760</v>
      </c>
      <c r="CH63">
        <v>8760</v>
      </c>
      <c r="CI63">
        <v>8760</v>
      </c>
      <c r="CJ63">
        <v>8760</v>
      </c>
      <c r="CK63">
        <v>8760</v>
      </c>
      <c r="CL63">
        <v>8760</v>
      </c>
      <c r="CM63">
        <v>8760</v>
      </c>
      <c r="CN63">
        <v>8760</v>
      </c>
      <c r="CO63">
        <v>8760</v>
      </c>
      <c r="CP63">
        <v>8760</v>
      </c>
      <c r="CQ63">
        <v>8760</v>
      </c>
      <c r="CR63">
        <v>8760</v>
      </c>
      <c r="CS63">
        <v>8760</v>
      </c>
      <c r="CT63">
        <v>8760</v>
      </c>
      <c r="CU63">
        <v>8760</v>
      </c>
      <c r="CV63">
        <v>8760</v>
      </c>
      <c r="CW63">
        <v>8760</v>
      </c>
      <c r="CX63">
        <v>8760</v>
      </c>
      <c r="CY63">
        <v>8760</v>
      </c>
      <c r="CZ63">
        <v>8760</v>
      </c>
      <c r="DA63">
        <v>8760</v>
      </c>
      <c r="DB63">
        <v>8760</v>
      </c>
    </row>
    <row r="64" spans="1:106" x14ac:dyDescent="0.25">
      <c r="A64" s="13" t="s">
        <v>82</v>
      </c>
      <c r="B64" t="s">
        <v>87</v>
      </c>
      <c r="C64" t="s">
        <v>438</v>
      </c>
      <c r="D64" t="s">
        <v>366</v>
      </c>
      <c r="E64" t="s">
        <v>367</v>
      </c>
      <c r="F64">
        <v>102631</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1</v>
      </c>
      <c r="AJ64">
        <v>5</v>
      </c>
      <c r="AK64">
        <v>11</v>
      </c>
      <c r="AL64">
        <v>19</v>
      </c>
      <c r="AM64">
        <v>28</v>
      </c>
      <c r="AN64">
        <v>47</v>
      </c>
      <c r="AO64">
        <v>69</v>
      </c>
      <c r="AP64">
        <v>97</v>
      </c>
      <c r="AQ64">
        <v>112</v>
      </c>
      <c r="AR64">
        <v>148</v>
      </c>
      <c r="AS64">
        <v>189</v>
      </c>
      <c r="AT64">
        <v>236</v>
      </c>
      <c r="AU64">
        <v>300</v>
      </c>
      <c r="AV64">
        <v>407</v>
      </c>
      <c r="AW64">
        <v>538</v>
      </c>
      <c r="AX64">
        <v>704</v>
      </c>
      <c r="AY64">
        <v>896</v>
      </c>
      <c r="AZ64">
        <v>1079</v>
      </c>
      <c r="BA64">
        <v>1354</v>
      </c>
      <c r="BB64">
        <v>1693</v>
      </c>
      <c r="BC64">
        <v>2013</v>
      </c>
      <c r="BD64">
        <v>2358</v>
      </c>
      <c r="BE64">
        <v>2789</v>
      </c>
      <c r="BF64">
        <v>3149</v>
      </c>
      <c r="BG64">
        <v>3531</v>
      </c>
      <c r="BH64">
        <v>3950</v>
      </c>
      <c r="BI64">
        <v>4322</v>
      </c>
      <c r="BJ64">
        <v>4653</v>
      </c>
      <c r="BK64">
        <v>5023</v>
      </c>
      <c r="BL64">
        <v>5325</v>
      </c>
      <c r="BM64">
        <v>5629</v>
      </c>
      <c r="BN64">
        <v>5925</v>
      </c>
      <c r="BO64">
        <v>6215</v>
      </c>
      <c r="BP64">
        <v>6521</v>
      </c>
      <c r="BQ64">
        <v>6842</v>
      </c>
      <c r="BR64">
        <v>7139</v>
      </c>
      <c r="BS64">
        <v>7405</v>
      </c>
      <c r="BT64">
        <v>7654</v>
      </c>
      <c r="BU64">
        <v>7878</v>
      </c>
      <c r="BV64">
        <v>8074</v>
      </c>
      <c r="BW64">
        <v>8257</v>
      </c>
      <c r="BX64">
        <v>8396</v>
      </c>
      <c r="BY64">
        <v>8523</v>
      </c>
      <c r="BZ64">
        <v>8584</v>
      </c>
      <c r="CA64">
        <v>8641</v>
      </c>
      <c r="CB64">
        <v>8685</v>
      </c>
      <c r="CC64">
        <v>8715</v>
      </c>
      <c r="CD64">
        <v>8741</v>
      </c>
      <c r="CE64">
        <v>8751</v>
      </c>
      <c r="CF64">
        <v>8754</v>
      </c>
      <c r="CG64">
        <v>8756</v>
      </c>
      <c r="CH64">
        <v>8756</v>
      </c>
      <c r="CI64">
        <v>8760</v>
      </c>
      <c r="CJ64">
        <v>8760</v>
      </c>
      <c r="CK64">
        <v>8760</v>
      </c>
      <c r="CL64">
        <v>8760</v>
      </c>
      <c r="CM64">
        <v>8760</v>
      </c>
      <c r="CN64">
        <v>8760</v>
      </c>
      <c r="CO64">
        <v>8760</v>
      </c>
      <c r="CP64">
        <v>8760</v>
      </c>
      <c r="CQ64">
        <v>8760</v>
      </c>
      <c r="CR64">
        <v>8760</v>
      </c>
      <c r="CS64">
        <v>8760</v>
      </c>
      <c r="CT64">
        <v>8760</v>
      </c>
      <c r="CU64">
        <v>8760</v>
      </c>
      <c r="CV64">
        <v>8760</v>
      </c>
      <c r="CW64">
        <v>8760</v>
      </c>
      <c r="CX64">
        <v>8760</v>
      </c>
      <c r="CY64">
        <v>8760</v>
      </c>
      <c r="CZ64">
        <v>8760</v>
      </c>
      <c r="DA64">
        <v>8760</v>
      </c>
      <c r="DB64">
        <v>8760</v>
      </c>
    </row>
    <row r="65" spans="1:106" x14ac:dyDescent="0.25">
      <c r="A65" s="13" t="s">
        <v>83</v>
      </c>
      <c r="B65" t="s">
        <v>88</v>
      </c>
      <c r="C65" t="s">
        <v>438</v>
      </c>
      <c r="D65" t="s">
        <v>529</v>
      </c>
      <c r="E65" t="s">
        <v>530</v>
      </c>
      <c r="F65">
        <v>102408</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1</v>
      </c>
      <c r="AP65">
        <v>7</v>
      </c>
      <c r="AQ65">
        <v>16</v>
      </c>
      <c r="AR65">
        <v>31</v>
      </c>
      <c r="AS65">
        <v>53</v>
      </c>
      <c r="AT65">
        <v>99</v>
      </c>
      <c r="AU65">
        <v>174</v>
      </c>
      <c r="AV65">
        <v>258</v>
      </c>
      <c r="AW65">
        <v>340</v>
      </c>
      <c r="AX65">
        <v>429</v>
      </c>
      <c r="AY65">
        <v>557</v>
      </c>
      <c r="AZ65">
        <v>711</v>
      </c>
      <c r="BA65">
        <v>920</v>
      </c>
      <c r="BB65">
        <v>1209</v>
      </c>
      <c r="BC65">
        <v>1519</v>
      </c>
      <c r="BD65">
        <v>1913</v>
      </c>
      <c r="BE65">
        <v>2451</v>
      </c>
      <c r="BF65">
        <v>2870</v>
      </c>
      <c r="BG65">
        <v>3241</v>
      </c>
      <c r="BH65">
        <v>3640</v>
      </c>
      <c r="BI65">
        <v>3985</v>
      </c>
      <c r="BJ65">
        <v>4298</v>
      </c>
      <c r="BK65">
        <v>4618</v>
      </c>
      <c r="BL65">
        <v>4940</v>
      </c>
      <c r="BM65">
        <v>5262</v>
      </c>
      <c r="BN65">
        <v>5554</v>
      </c>
      <c r="BO65">
        <v>5895</v>
      </c>
      <c r="BP65">
        <v>6226</v>
      </c>
      <c r="BQ65">
        <v>6579</v>
      </c>
      <c r="BR65">
        <v>6976</v>
      </c>
      <c r="BS65">
        <v>7306</v>
      </c>
      <c r="BT65">
        <v>7567</v>
      </c>
      <c r="BU65">
        <v>7812</v>
      </c>
      <c r="BV65">
        <v>8069</v>
      </c>
      <c r="BW65">
        <v>8265</v>
      </c>
      <c r="BX65">
        <v>8417</v>
      </c>
      <c r="BY65">
        <v>8527</v>
      </c>
      <c r="BZ65">
        <v>8620</v>
      </c>
      <c r="CA65">
        <v>8680</v>
      </c>
      <c r="CB65">
        <v>8721</v>
      </c>
      <c r="CC65">
        <v>8742</v>
      </c>
      <c r="CD65">
        <v>8755</v>
      </c>
      <c r="CE65">
        <v>8760</v>
      </c>
      <c r="CF65">
        <v>8760</v>
      </c>
      <c r="CG65">
        <v>8760</v>
      </c>
      <c r="CH65">
        <v>8760</v>
      </c>
      <c r="CI65">
        <v>8760</v>
      </c>
      <c r="CJ65">
        <v>8760</v>
      </c>
      <c r="CK65">
        <v>8760</v>
      </c>
      <c r="CL65">
        <v>8760</v>
      </c>
      <c r="CM65">
        <v>8760</v>
      </c>
      <c r="CN65">
        <v>8760</v>
      </c>
      <c r="CO65">
        <v>8760</v>
      </c>
      <c r="CP65">
        <v>8760</v>
      </c>
      <c r="CQ65">
        <v>8760</v>
      </c>
      <c r="CR65">
        <v>8760</v>
      </c>
      <c r="CS65">
        <v>8760</v>
      </c>
      <c r="CT65">
        <v>8760</v>
      </c>
      <c r="CU65">
        <v>8760</v>
      </c>
      <c r="CV65">
        <v>8760</v>
      </c>
      <c r="CW65">
        <v>8760</v>
      </c>
      <c r="CX65">
        <v>8760</v>
      </c>
      <c r="CY65">
        <v>8760</v>
      </c>
      <c r="CZ65">
        <v>8760</v>
      </c>
      <c r="DA65">
        <v>8760</v>
      </c>
      <c r="DB65">
        <v>8760</v>
      </c>
    </row>
    <row r="66" spans="1:106" x14ac:dyDescent="0.25">
      <c r="A66" s="13" t="s">
        <v>84</v>
      </c>
      <c r="B66" t="s">
        <v>89</v>
      </c>
      <c r="C66" t="s">
        <v>438</v>
      </c>
      <c r="D66" t="s">
        <v>531</v>
      </c>
      <c r="E66" t="s">
        <v>532</v>
      </c>
      <c r="F66">
        <v>102412</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11</v>
      </c>
      <c r="AP66">
        <v>14</v>
      </c>
      <c r="AQ66">
        <v>18</v>
      </c>
      <c r="AR66">
        <v>35</v>
      </c>
      <c r="AS66">
        <v>66</v>
      </c>
      <c r="AT66">
        <v>117</v>
      </c>
      <c r="AU66">
        <v>173</v>
      </c>
      <c r="AV66">
        <v>257</v>
      </c>
      <c r="AW66">
        <v>376</v>
      </c>
      <c r="AX66">
        <v>518</v>
      </c>
      <c r="AY66">
        <v>656</v>
      </c>
      <c r="AZ66">
        <v>811</v>
      </c>
      <c r="BA66">
        <v>1012</v>
      </c>
      <c r="BB66">
        <v>1243</v>
      </c>
      <c r="BC66">
        <v>1511</v>
      </c>
      <c r="BD66">
        <v>1882</v>
      </c>
      <c r="BE66">
        <v>2370</v>
      </c>
      <c r="BF66">
        <v>2747</v>
      </c>
      <c r="BG66">
        <v>3162</v>
      </c>
      <c r="BH66">
        <v>3523</v>
      </c>
      <c r="BI66">
        <v>3904</v>
      </c>
      <c r="BJ66">
        <v>4292</v>
      </c>
      <c r="BK66">
        <v>4681</v>
      </c>
      <c r="BL66">
        <v>5001</v>
      </c>
      <c r="BM66">
        <v>5322</v>
      </c>
      <c r="BN66">
        <v>5654</v>
      </c>
      <c r="BO66">
        <v>5978</v>
      </c>
      <c r="BP66">
        <v>6345</v>
      </c>
      <c r="BQ66">
        <v>6673</v>
      </c>
      <c r="BR66">
        <v>6978</v>
      </c>
      <c r="BS66">
        <v>7299</v>
      </c>
      <c r="BT66">
        <v>7598</v>
      </c>
      <c r="BU66">
        <v>7843</v>
      </c>
      <c r="BV66">
        <v>8064</v>
      </c>
      <c r="BW66">
        <v>8231</v>
      </c>
      <c r="BX66">
        <v>8410</v>
      </c>
      <c r="BY66">
        <v>8520</v>
      </c>
      <c r="BZ66">
        <v>8607</v>
      </c>
      <c r="CA66">
        <v>8666</v>
      </c>
      <c r="CB66">
        <v>8711</v>
      </c>
      <c r="CC66">
        <v>8741</v>
      </c>
      <c r="CD66">
        <v>8756</v>
      </c>
      <c r="CE66">
        <v>8760</v>
      </c>
      <c r="CF66">
        <v>8760</v>
      </c>
      <c r="CG66">
        <v>8760</v>
      </c>
      <c r="CH66">
        <v>8760</v>
      </c>
      <c r="CI66">
        <v>8760</v>
      </c>
      <c r="CJ66">
        <v>8760</v>
      </c>
      <c r="CK66">
        <v>8760</v>
      </c>
      <c r="CL66">
        <v>8760</v>
      </c>
      <c r="CM66">
        <v>8760</v>
      </c>
      <c r="CN66">
        <v>8760</v>
      </c>
      <c r="CO66">
        <v>8760</v>
      </c>
      <c r="CP66">
        <v>8760</v>
      </c>
      <c r="CQ66">
        <v>8760</v>
      </c>
      <c r="CR66">
        <v>8760</v>
      </c>
      <c r="CS66">
        <v>8760</v>
      </c>
      <c r="CT66">
        <v>8760</v>
      </c>
      <c r="CU66">
        <v>8760</v>
      </c>
      <c r="CV66">
        <v>8760</v>
      </c>
      <c r="CW66">
        <v>8760</v>
      </c>
      <c r="CX66">
        <v>8760</v>
      </c>
      <c r="CY66">
        <v>8760</v>
      </c>
      <c r="CZ66">
        <v>8760</v>
      </c>
      <c r="DA66">
        <v>8760</v>
      </c>
      <c r="DB66">
        <v>8760</v>
      </c>
    </row>
    <row r="67" spans="1:106" x14ac:dyDescent="0.25">
      <c r="A67" s="13" t="s">
        <v>85</v>
      </c>
      <c r="B67" t="s">
        <v>91</v>
      </c>
      <c r="C67" t="s">
        <v>438</v>
      </c>
      <c r="D67" t="s">
        <v>533</v>
      </c>
      <c r="E67" t="s">
        <v>534</v>
      </c>
      <c r="F67">
        <v>102528</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6</v>
      </c>
      <c r="AI67">
        <v>15</v>
      </c>
      <c r="AJ67">
        <v>20</v>
      </c>
      <c r="AK67">
        <v>22</v>
      </c>
      <c r="AL67">
        <v>28</v>
      </c>
      <c r="AM67">
        <v>52</v>
      </c>
      <c r="AN67">
        <v>75</v>
      </c>
      <c r="AO67">
        <v>93</v>
      </c>
      <c r="AP67">
        <v>116</v>
      </c>
      <c r="AQ67">
        <v>133</v>
      </c>
      <c r="AR67">
        <v>155</v>
      </c>
      <c r="AS67">
        <v>188</v>
      </c>
      <c r="AT67">
        <v>225</v>
      </c>
      <c r="AU67">
        <v>291</v>
      </c>
      <c r="AV67">
        <v>367</v>
      </c>
      <c r="AW67">
        <v>478</v>
      </c>
      <c r="AX67">
        <v>611</v>
      </c>
      <c r="AY67">
        <v>779</v>
      </c>
      <c r="AZ67">
        <v>965</v>
      </c>
      <c r="BA67">
        <v>1239</v>
      </c>
      <c r="BB67">
        <v>1544</v>
      </c>
      <c r="BC67">
        <v>1857</v>
      </c>
      <c r="BD67">
        <v>2217</v>
      </c>
      <c r="BE67">
        <v>2551</v>
      </c>
      <c r="BF67">
        <v>2913</v>
      </c>
      <c r="BG67">
        <v>3246</v>
      </c>
      <c r="BH67">
        <v>3588</v>
      </c>
      <c r="BI67">
        <v>3954</v>
      </c>
      <c r="BJ67">
        <v>4303</v>
      </c>
      <c r="BK67">
        <v>4663</v>
      </c>
      <c r="BL67">
        <v>5031</v>
      </c>
      <c r="BM67">
        <v>5388</v>
      </c>
      <c r="BN67">
        <v>5713</v>
      </c>
      <c r="BO67">
        <v>6050</v>
      </c>
      <c r="BP67">
        <v>6404</v>
      </c>
      <c r="BQ67">
        <v>6779</v>
      </c>
      <c r="BR67">
        <v>7116</v>
      </c>
      <c r="BS67">
        <v>7395</v>
      </c>
      <c r="BT67">
        <v>7690</v>
      </c>
      <c r="BU67">
        <v>7921</v>
      </c>
      <c r="BV67">
        <v>8117</v>
      </c>
      <c r="BW67">
        <v>8258</v>
      </c>
      <c r="BX67">
        <v>8378</v>
      </c>
      <c r="BY67">
        <v>8479</v>
      </c>
      <c r="BZ67">
        <v>8556</v>
      </c>
      <c r="CA67">
        <v>8618</v>
      </c>
      <c r="CB67">
        <v>8656</v>
      </c>
      <c r="CC67">
        <v>8702</v>
      </c>
      <c r="CD67">
        <v>8726</v>
      </c>
      <c r="CE67">
        <v>8748</v>
      </c>
      <c r="CF67">
        <v>8756</v>
      </c>
      <c r="CG67">
        <v>8760</v>
      </c>
      <c r="CH67">
        <v>8760</v>
      </c>
      <c r="CI67">
        <v>8760</v>
      </c>
      <c r="CJ67">
        <v>8760</v>
      </c>
      <c r="CK67">
        <v>8760</v>
      </c>
      <c r="CL67">
        <v>8760</v>
      </c>
      <c r="CM67">
        <v>8760</v>
      </c>
      <c r="CN67">
        <v>8760</v>
      </c>
      <c r="CO67">
        <v>8760</v>
      </c>
      <c r="CP67">
        <v>8760</v>
      </c>
      <c r="CQ67">
        <v>8760</v>
      </c>
      <c r="CR67">
        <v>8760</v>
      </c>
      <c r="CS67">
        <v>8760</v>
      </c>
      <c r="CT67">
        <v>8760</v>
      </c>
      <c r="CU67">
        <v>8760</v>
      </c>
      <c r="CV67">
        <v>8760</v>
      </c>
      <c r="CW67">
        <v>8760</v>
      </c>
      <c r="CX67">
        <v>8760</v>
      </c>
      <c r="CY67">
        <v>8760</v>
      </c>
      <c r="CZ67">
        <v>8760</v>
      </c>
      <c r="DA67">
        <v>8760</v>
      </c>
      <c r="DB67">
        <v>8760</v>
      </c>
    </row>
    <row r="68" spans="1:106" x14ac:dyDescent="0.25">
      <c r="A68" s="13" t="s">
        <v>86</v>
      </c>
      <c r="B68" t="s">
        <v>92</v>
      </c>
      <c r="C68" t="s">
        <v>438</v>
      </c>
      <c r="D68" t="s">
        <v>535</v>
      </c>
      <c r="E68" t="s">
        <v>536</v>
      </c>
      <c r="F68">
        <v>102903</v>
      </c>
      <c r="G68">
        <v>0</v>
      </c>
      <c r="H68">
        <v>0</v>
      </c>
      <c r="I68">
        <v>0</v>
      </c>
      <c r="J68">
        <v>0</v>
      </c>
      <c r="K68">
        <v>0</v>
      </c>
      <c r="L68">
        <v>0</v>
      </c>
      <c r="M68">
        <v>0</v>
      </c>
      <c r="N68">
        <v>0</v>
      </c>
      <c r="O68">
        <v>0</v>
      </c>
      <c r="P68">
        <v>0</v>
      </c>
      <c r="Q68">
        <v>0</v>
      </c>
      <c r="R68">
        <v>0</v>
      </c>
      <c r="S68">
        <v>0</v>
      </c>
      <c r="T68">
        <v>0</v>
      </c>
      <c r="U68">
        <v>0</v>
      </c>
      <c r="V68">
        <v>0</v>
      </c>
      <c r="W68">
        <v>0</v>
      </c>
      <c r="X68">
        <v>2</v>
      </c>
      <c r="Y68">
        <v>8</v>
      </c>
      <c r="Z68">
        <v>16</v>
      </c>
      <c r="AA68">
        <v>24</v>
      </c>
      <c r="AB68">
        <v>33</v>
      </c>
      <c r="AC68">
        <v>44</v>
      </c>
      <c r="AD68">
        <v>62</v>
      </c>
      <c r="AE68">
        <v>82</v>
      </c>
      <c r="AF68">
        <v>121</v>
      </c>
      <c r="AG68">
        <v>163</v>
      </c>
      <c r="AH68">
        <v>195</v>
      </c>
      <c r="AI68">
        <v>241</v>
      </c>
      <c r="AJ68">
        <v>271</v>
      </c>
      <c r="AK68">
        <v>304</v>
      </c>
      <c r="AL68">
        <v>358</v>
      </c>
      <c r="AM68">
        <v>411</v>
      </c>
      <c r="AN68">
        <v>487</v>
      </c>
      <c r="AO68">
        <v>564</v>
      </c>
      <c r="AP68">
        <v>650</v>
      </c>
      <c r="AQ68">
        <v>747</v>
      </c>
      <c r="AR68">
        <v>850</v>
      </c>
      <c r="AS68">
        <v>980</v>
      </c>
      <c r="AT68">
        <v>1098</v>
      </c>
      <c r="AU68">
        <v>1241</v>
      </c>
      <c r="AV68">
        <v>1415</v>
      </c>
      <c r="AW68">
        <v>1603</v>
      </c>
      <c r="AX68">
        <v>1834</v>
      </c>
      <c r="AY68">
        <v>2071</v>
      </c>
      <c r="AZ68">
        <v>2381</v>
      </c>
      <c r="BA68">
        <v>2678</v>
      </c>
      <c r="BB68">
        <v>2960</v>
      </c>
      <c r="BC68">
        <v>3336</v>
      </c>
      <c r="BD68">
        <v>3715</v>
      </c>
      <c r="BE68">
        <v>4106</v>
      </c>
      <c r="BF68">
        <v>4436</v>
      </c>
      <c r="BG68">
        <v>4742</v>
      </c>
      <c r="BH68">
        <v>4993</v>
      </c>
      <c r="BI68">
        <v>5244</v>
      </c>
      <c r="BJ68">
        <v>5529</v>
      </c>
      <c r="BK68">
        <v>5819</v>
      </c>
      <c r="BL68">
        <v>6066</v>
      </c>
      <c r="BM68">
        <v>6306</v>
      </c>
      <c r="BN68">
        <v>6592</v>
      </c>
      <c r="BO68">
        <v>6870</v>
      </c>
      <c r="BP68">
        <v>7171</v>
      </c>
      <c r="BQ68">
        <v>7454</v>
      </c>
      <c r="BR68">
        <v>7715</v>
      </c>
      <c r="BS68">
        <v>7941</v>
      </c>
      <c r="BT68">
        <v>8121</v>
      </c>
      <c r="BU68">
        <v>8258</v>
      </c>
      <c r="BV68">
        <v>8366</v>
      </c>
      <c r="BW68">
        <v>8454</v>
      </c>
      <c r="BX68">
        <v>8531</v>
      </c>
      <c r="BY68">
        <v>8579</v>
      </c>
      <c r="BZ68">
        <v>8632</v>
      </c>
      <c r="CA68">
        <v>8677</v>
      </c>
      <c r="CB68">
        <v>8703</v>
      </c>
      <c r="CC68">
        <v>8735</v>
      </c>
      <c r="CD68">
        <v>8753</v>
      </c>
      <c r="CE68">
        <v>8755</v>
      </c>
      <c r="CF68">
        <v>8755</v>
      </c>
      <c r="CG68">
        <v>8756</v>
      </c>
      <c r="CH68">
        <v>8760</v>
      </c>
      <c r="CI68">
        <v>8760</v>
      </c>
      <c r="CJ68">
        <v>8760</v>
      </c>
      <c r="CK68">
        <v>8760</v>
      </c>
      <c r="CL68">
        <v>8760</v>
      </c>
      <c r="CM68">
        <v>8760</v>
      </c>
      <c r="CN68">
        <v>8760</v>
      </c>
      <c r="CO68">
        <v>8760</v>
      </c>
      <c r="CP68">
        <v>8760</v>
      </c>
      <c r="CQ68">
        <v>8760</v>
      </c>
      <c r="CR68">
        <v>8760</v>
      </c>
      <c r="CS68">
        <v>8760</v>
      </c>
      <c r="CT68">
        <v>8760</v>
      </c>
      <c r="CU68">
        <v>8760</v>
      </c>
      <c r="CV68">
        <v>8760</v>
      </c>
      <c r="CW68">
        <v>8760</v>
      </c>
      <c r="CX68">
        <v>8760</v>
      </c>
      <c r="CY68">
        <v>8760</v>
      </c>
      <c r="CZ68">
        <v>8760</v>
      </c>
      <c r="DA68">
        <v>8760</v>
      </c>
      <c r="DB68">
        <v>8760</v>
      </c>
    </row>
    <row r="69" spans="1:106" x14ac:dyDescent="0.25">
      <c r="A69" s="13" t="s">
        <v>87</v>
      </c>
      <c r="B69" t="s">
        <v>369</v>
      </c>
    </row>
    <row r="70" spans="1:106" x14ac:dyDescent="0.25">
      <c r="A70" s="13" t="s">
        <v>88</v>
      </c>
      <c r="B70" t="s">
        <v>85</v>
      </c>
      <c r="C70" t="s">
        <v>438</v>
      </c>
      <c r="D70" t="s">
        <v>537</v>
      </c>
      <c r="E70" t="s">
        <v>538</v>
      </c>
      <c r="F70">
        <v>102249</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10</v>
      </c>
      <c r="AQ70">
        <v>31</v>
      </c>
      <c r="AR70">
        <v>49</v>
      </c>
      <c r="AS70">
        <v>79</v>
      </c>
      <c r="AT70">
        <v>106</v>
      </c>
      <c r="AU70">
        <v>141</v>
      </c>
      <c r="AV70">
        <v>196</v>
      </c>
      <c r="AW70">
        <v>246</v>
      </c>
      <c r="AX70">
        <v>342</v>
      </c>
      <c r="AY70">
        <v>439</v>
      </c>
      <c r="AZ70">
        <v>575</v>
      </c>
      <c r="BA70">
        <v>765</v>
      </c>
      <c r="BB70">
        <v>1032</v>
      </c>
      <c r="BC70">
        <v>1325</v>
      </c>
      <c r="BD70">
        <v>1642</v>
      </c>
      <c r="BE70">
        <v>2062</v>
      </c>
      <c r="BF70">
        <v>2485</v>
      </c>
      <c r="BG70">
        <v>2941</v>
      </c>
      <c r="BH70">
        <v>3357</v>
      </c>
      <c r="BI70">
        <v>3823</v>
      </c>
      <c r="BJ70">
        <v>4254</v>
      </c>
      <c r="BK70">
        <v>4631</v>
      </c>
      <c r="BL70">
        <v>4910</v>
      </c>
      <c r="BM70">
        <v>5229</v>
      </c>
      <c r="BN70">
        <v>5577</v>
      </c>
      <c r="BO70">
        <v>5925</v>
      </c>
      <c r="BP70">
        <v>6324</v>
      </c>
      <c r="BQ70">
        <v>6676</v>
      </c>
      <c r="BR70">
        <v>7059</v>
      </c>
      <c r="BS70">
        <v>7407</v>
      </c>
      <c r="BT70">
        <v>7693</v>
      </c>
      <c r="BU70">
        <v>7945</v>
      </c>
      <c r="BV70">
        <v>8147</v>
      </c>
      <c r="BW70">
        <v>8307</v>
      </c>
      <c r="BX70">
        <v>8416</v>
      </c>
      <c r="BY70">
        <v>8502</v>
      </c>
      <c r="BZ70">
        <v>8566</v>
      </c>
      <c r="CA70">
        <v>8611</v>
      </c>
      <c r="CB70">
        <v>8640</v>
      </c>
      <c r="CC70">
        <v>8672</v>
      </c>
      <c r="CD70">
        <v>8700</v>
      </c>
      <c r="CE70">
        <v>8722</v>
      </c>
      <c r="CF70">
        <v>8735</v>
      </c>
      <c r="CG70">
        <v>8744</v>
      </c>
      <c r="CH70">
        <v>8748</v>
      </c>
      <c r="CI70">
        <v>8754</v>
      </c>
      <c r="CJ70">
        <v>8758</v>
      </c>
      <c r="CK70">
        <v>8760</v>
      </c>
      <c r="CL70">
        <v>8760</v>
      </c>
      <c r="CM70">
        <v>8760</v>
      </c>
      <c r="CN70">
        <v>8760</v>
      </c>
      <c r="CO70">
        <v>8760</v>
      </c>
      <c r="CP70">
        <v>8760</v>
      </c>
      <c r="CQ70">
        <v>8760</v>
      </c>
      <c r="CR70">
        <v>8760</v>
      </c>
      <c r="CS70">
        <v>8760</v>
      </c>
      <c r="CT70">
        <v>8760</v>
      </c>
      <c r="CU70">
        <v>8760</v>
      </c>
      <c r="CV70">
        <v>8760</v>
      </c>
      <c r="CW70">
        <v>8760</v>
      </c>
      <c r="CX70">
        <v>8760</v>
      </c>
      <c r="CY70">
        <v>8760</v>
      </c>
      <c r="CZ70">
        <v>8760</v>
      </c>
      <c r="DA70">
        <v>8760</v>
      </c>
      <c r="DB70">
        <v>8760</v>
      </c>
    </row>
    <row r="71" spans="1:106" x14ac:dyDescent="0.25">
      <c r="A71" s="13" t="s">
        <v>89</v>
      </c>
      <c r="B71" t="s">
        <v>370</v>
      </c>
      <c r="C71" t="s">
        <v>438</v>
      </c>
      <c r="D71" t="s">
        <v>539</v>
      </c>
      <c r="E71" t="s">
        <v>540</v>
      </c>
      <c r="F71">
        <v>102820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3</v>
      </c>
      <c r="AF71">
        <v>11</v>
      </c>
      <c r="AG71">
        <v>14</v>
      </c>
      <c r="AH71">
        <v>21</v>
      </c>
      <c r="AI71">
        <v>28</v>
      </c>
      <c r="AJ71">
        <v>41</v>
      </c>
      <c r="AK71">
        <v>68</v>
      </c>
      <c r="AL71">
        <v>97</v>
      </c>
      <c r="AM71">
        <v>132</v>
      </c>
      <c r="AN71">
        <v>180</v>
      </c>
      <c r="AO71">
        <v>242</v>
      </c>
      <c r="AP71">
        <v>332</v>
      </c>
      <c r="AQ71">
        <v>419</v>
      </c>
      <c r="AR71">
        <v>529</v>
      </c>
      <c r="AS71">
        <v>643</v>
      </c>
      <c r="AT71">
        <v>743</v>
      </c>
      <c r="AU71">
        <v>910</v>
      </c>
      <c r="AV71">
        <v>1084</v>
      </c>
      <c r="AW71">
        <v>1268</v>
      </c>
      <c r="AX71">
        <v>1482</v>
      </c>
      <c r="AY71">
        <v>1738</v>
      </c>
      <c r="AZ71">
        <v>2039</v>
      </c>
      <c r="BA71">
        <v>2352</v>
      </c>
      <c r="BB71">
        <v>2700</v>
      </c>
      <c r="BC71">
        <v>3065</v>
      </c>
      <c r="BD71">
        <v>3485</v>
      </c>
      <c r="BE71">
        <v>3906</v>
      </c>
      <c r="BF71">
        <v>4266</v>
      </c>
      <c r="BG71">
        <v>4603</v>
      </c>
      <c r="BH71">
        <v>4880</v>
      </c>
      <c r="BI71">
        <v>5162</v>
      </c>
      <c r="BJ71">
        <v>5487</v>
      </c>
      <c r="BK71">
        <v>5777</v>
      </c>
      <c r="BL71">
        <v>6082</v>
      </c>
      <c r="BM71">
        <v>6404</v>
      </c>
      <c r="BN71">
        <v>6717</v>
      </c>
      <c r="BO71">
        <v>7046</v>
      </c>
      <c r="BP71">
        <v>7331</v>
      </c>
      <c r="BQ71">
        <v>7617</v>
      </c>
      <c r="BR71">
        <v>7876</v>
      </c>
      <c r="BS71">
        <v>8078</v>
      </c>
      <c r="BT71">
        <v>8240</v>
      </c>
      <c r="BU71">
        <v>8386</v>
      </c>
      <c r="BV71">
        <v>8506</v>
      </c>
      <c r="BW71">
        <v>8601</v>
      </c>
      <c r="BX71">
        <v>8664</v>
      </c>
      <c r="BY71">
        <v>8700</v>
      </c>
      <c r="BZ71">
        <v>8729</v>
      </c>
      <c r="CA71">
        <v>8746</v>
      </c>
      <c r="CB71">
        <v>8756</v>
      </c>
      <c r="CC71">
        <v>8759</v>
      </c>
      <c r="CD71">
        <v>8760</v>
      </c>
      <c r="CE71">
        <v>8760</v>
      </c>
      <c r="CF71">
        <v>8760</v>
      </c>
      <c r="CG71">
        <v>8760</v>
      </c>
      <c r="CH71">
        <v>8760</v>
      </c>
      <c r="CI71">
        <v>8760</v>
      </c>
      <c r="CJ71">
        <v>8760</v>
      </c>
      <c r="CK71">
        <v>8760</v>
      </c>
      <c r="CL71">
        <v>8760</v>
      </c>
      <c r="CM71">
        <v>8760</v>
      </c>
      <c r="CN71">
        <v>8760</v>
      </c>
      <c r="CO71">
        <v>8760</v>
      </c>
      <c r="CP71">
        <v>8760</v>
      </c>
      <c r="CQ71">
        <v>8760</v>
      </c>
      <c r="CR71">
        <v>8760</v>
      </c>
      <c r="CS71">
        <v>8760</v>
      </c>
      <c r="CT71">
        <v>8760</v>
      </c>
      <c r="CU71">
        <v>8760</v>
      </c>
      <c r="CV71">
        <v>8760</v>
      </c>
      <c r="CW71">
        <v>8760</v>
      </c>
      <c r="CX71">
        <v>8760</v>
      </c>
      <c r="CY71">
        <v>8760</v>
      </c>
      <c r="CZ71">
        <v>8760</v>
      </c>
      <c r="DA71">
        <v>8760</v>
      </c>
      <c r="DB71">
        <v>8760</v>
      </c>
    </row>
    <row r="72" spans="1:106" x14ac:dyDescent="0.25">
      <c r="A72" s="13" t="s">
        <v>90</v>
      </c>
      <c r="B72" t="s">
        <v>94</v>
      </c>
      <c r="C72" t="s">
        <v>438</v>
      </c>
      <c r="D72" t="s">
        <v>541</v>
      </c>
      <c r="E72" t="s">
        <v>542</v>
      </c>
      <c r="F72">
        <v>102725</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2</v>
      </c>
      <c r="AD72">
        <v>8</v>
      </c>
      <c r="AE72">
        <v>13</v>
      </c>
      <c r="AF72">
        <v>16</v>
      </c>
      <c r="AG72">
        <v>18</v>
      </c>
      <c r="AH72">
        <v>25</v>
      </c>
      <c r="AI72">
        <v>31</v>
      </c>
      <c r="AJ72">
        <v>57</v>
      </c>
      <c r="AK72">
        <v>79</v>
      </c>
      <c r="AL72">
        <v>94</v>
      </c>
      <c r="AM72">
        <v>112</v>
      </c>
      <c r="AN72">
        <v>138</v>
      </c>
      <c r="AO72">
        <v>167</v>
      </c>
      <c r="AP72">
        <v>211</v>
      </c>
      <c r="AQ72">
        <v>275</v>
      </c>
      <c r="AR72">
        <v>353</v>
      </c>
      <c r="AS72">
        <v>465</v>
      </c>
      <c r="AT72">
        <v>583</v>
      </c>
      <c r="AU72">
        <v>698</v>
      </c>
      <c r="AV72">
        <v>828</v>
      </c>
      <c r="AW72">
        <v>961</v>
      </c>
      <c r="AX72">
        <v>1108</v>
      </c>
      <c r="AY72">
        <v>1257</v>
      </c>
      <c r="AZ72">
        <v>1478</v>
      </c>
      <c r="BA72">
        <v>1753</v>
      </c>
      <c r="BB72">
        <v>2054</v>
      </c>
      <c r="BC72">
        <v>2378</v>
      </c>
      <c r="BD72">
        <v>2746</v>
      </c>
      <c r="BE72">
        <v>3125</v>
      </c>
      <c r="BF72">
        <v>3481</v>
      </c>
      <c r="BG72">
        <v>3797</v>
      </c>
      <c r="BH72">
        <v>4146</v>
      </c>
      <c r="BI72">
        <v>4519</v>
      </c>
      <c r="BJ72">
        <v>4891</v>
      </c>
      <c r="BK72">
        <v>5235</v>
      </c>
      <c r="BL72">
        <v>5560</v>
      </c>
      <c r="BM72">
        <v>5840</v>
      </c>
      <c r="BN72">
        <v>6178</v>
      </c>
      <c r="BO72">
        <v>6504</v>
      </c>
      <c r="BP72">
        <v>6828</v>
      </c>
      <c r="BQ72">
        <v>7136</v>
      </c>
      <c r="BR72">
        <v>7424</v>
      </c>
      <c r="BS72">
        <v>7695</v>
      </c>
      <c r="BT72">
        <v>7930</v>
      </c>
      <c r="BU72">
        <v>8092</v>
      </c>
      <c r="BV72">
        <v>8234</v>
      </c>
      <c r="BW72">
        <v>8329</v>
      </c>
      <c r="BX72">
        <v>8415</v>
      </c>
      <c r="BY72">
        <v>8483</v>
      </c>
      <c r="BZ72">
        <v>8549</v>
      </c>
      <c r="CA72">
        <v>8603</v>
      </c>
      <c r="CB72">
        <v>8641</v>
      </c>
      <c r="CC72">
        <v>8674</v>
      </c>
      <c r="CD72">
        <v>8696</v>
      </c>
      <c r="CE72">
        <v>8727</v>
      </c>
      <c r="CF72">
        <v>8747</v>
      </c>
      <c r="CG72">
        <v>8756</v>
      </c>
      <c r="CH72">
        <v>8757</v>
      </c>
      <c r="CI72">
        <v>8760</v>
      </c>
      <c r="CJ72">
        <v>8760</v>
      </c>
      <c r="CK72">
        <v>8760</v>
      </c>
      <c r="CL72">
        <v>8760</v>
      </c>
      <c r="CM72">
        <v>8760</v>
      </c>
      <c r="CN72">
        <v>8760</v>
      </c>
      <c r="CO72">
        <v>8760</v>
      </c>
      <c r="CP72">
        <v>8760</v>
      </c>
      <c r="CQ72">
        <v>8760</v>
      </c>
      <c r="CR72">
        <v>8760</v>
      </c>
      <c r="CS72">
        <v>8760</v>
      </c>
      <c r="CT72">
        <v>8760</v>
      </c>
      <c r="CU72">
        <v>8760</v>
      </c>
      <c r="CV72">
        <v>8760</v>
      </c>
      <c r="CW72">
        <v>8760</v>
      </c>
      <c r="CX72">
        <v>8760</v>
      </c>
      <c r="CY72">
        <v>8760</v>
      </c>
      <c r="CZ72">
        <v>8760</v>
      </c>
      <c r="DA72">
        <v>8760</v>
      </c>
      <c r="DB72">
        <v>8760</v>
      </c>
    </row>
    <row r="73" spans="1:106" x14ac:dyDescent="0.25">
      <c r="A73" s="13" t="s">
        <v>91</v>
      </c>
      <c r="B73" t="s">
        <v>543</v>
      </c>
    </row>
    <row r="74" spans="1:106" x14ac:dyDescent="0.25">
      <c r="A74" s="13" t="s">
        <v>92</v>
      </c>
      <c r="B74" t="s">
        <v>97</v>
      </c>
      <c r="C74" t="s">
        <v>438</v>
      </c>
      <c r="D74" t="s">
        <v>544</v>
      </c>
      <c r="E74" t="s">
        <v>545</v>
      </c>
      <c r="F74">
        <v>102317</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1</v>
      </c>
      <c r="AO74">
        <v>4</v>
      </c>
      <c r="AP74">
        <v>9</v>
      </c>
      <c r="AQ74">
        <v>30</v>
      </c>
      <c r="AR74">
        <v>60</v>
      </c>
      <c r="AS74">
        <v>77</v>
      </c>
      <c r="AT74">
        <v>94</v>
      </c>
      <c r="AU74">
        <v>125</v>
      </c>
      <c r="AV74">
        <v>179</v>
      </c>
      <c r="AW74">
        <v>233</v>
      </c>
      <c r="AX74">
        <v>327</v>
      </c>
      <c r="AY74">
        <v>449</v>
      </c>
      <c r="AZ74">
        <v>579</v>
      </c>
      <c r="BA74">
        <v>756</v>
      </c>
      <c r="BB74">
        <v>931</v>
      </c>
      <c r="BC74">
        <v>1242</v>
      </c>
      <c r="BD74">
        <v>1631</v>
      </c>
      <c r="BE74">
        <v>2022</v>
      </c>
      <c r="BF74">
        <v>2458</v>
      </c>
      <c r="BG74">
        <v>2975</v>
      </c>
      <c r="BH74">
        <v>3456</v>
      </c>
      <c r="BI74">
        <v>3846</v>
      </c>
      <c r="BJ74">
        <v>4232</v>
      </c>
      <c r="BK74">
        <v>4608</v>
      </c>
      <c r="BL74">
        <v>4950</v>
      </c>
      <c r="BM74">
        <v>5237</v>
      </c>
      <c r="BN74">
        <v>5607</v>
      </c>
      <c r="BO74">
        <v>5984</v>
      </c>
      <c r="BP74">
        <v>6389</v>
      </c>
      <c r="BQ74">
        <v>6778</v>
      </c>
      <c r="BR74">
        <v>7187</v>
      </c>
      <c r="BS74">
        <v>7512</v>
      </c>
      <c r="BT74">
        <v>7798</v>
      </c>
      <c r="BU74">
        <v>8017</v>
      </c>
      <c r="BV74">
        <v>8198</v>
      </c>
      <c r="BW74">
        <v>8326</v>
      </c>
      <c r="BX74">
        <v>8422</v>
      </c>
      <c r="BY74">
        <v>8503</v>
      </c>
      <c r="BZ74">
        <v>8574</v>
      </c>
      <c r="CA74">
        <v>8632</v>
      </c>
      <c r="CB74">
        <v>8663</v>
      </c>
      <c r="CC74">
        <v>8681</v>
      </c>
      <c r="CD74">
        <v>8707</v>
      </c>
      <c r="CE74">
        <v>8719</v>
      </c>
      <c r="CF74">
        <v>8727</v>
      </c>
      <c r="CG74">
        <v>8742</v>
      </c>
      <c r="CH74">
        <v>8753</v>
      </c>
      <c r="CI74">
        <v>8760</v>
      </c>
      <c r="CJ74">
        <v>8760</v>
      </c>
      <c r="CK74">
        <v>8760</v>
      </c>
      <c r="CL74">
        <v>8760</v>
      </c>
      <c r="CM74">
        <v>8760</v>
      </c>
      <c r="CN74">
        <v>8760</v>
      </c>
      <c r="CO74">
        <v>8760</v>
      </c>
      <c r="CP74">
        <v>8760</v>
      </c>
      <c r="CQ74">
        <v>8760</v>
      </c>
      <c r="CR74">
        <v>8760</v>
      </c>
      <c r="CS74">
        <v>8760</v>
      </c>
      <c r="CT74">
        <v>8760</v>
      </c>
      <c r="CU74">
        <v>8760</v>
      </c>
      <c r="CV74">
        <v>8760</v>
      </c>
      <c r="CW74">
        <v>8760</v>
      </c>
      <c r="CX74">
        <v>8760</v>
      </c>
      <c r="CY74">
        <v>8760</v>
      </c>
      <c r="CZ74">
        <v>8760</v>
      </c>
      <c r="DA74">
        <v>8760</v>
      </c>
      <c r="DB74">
        <v>8760</v>
      </c>
    </row>
    <row r="75" spans="1:106" x14ac:dyDescent="0.25">
      <c r="A75" s="13" t="s">
        <v>93</v>
      </c>
      <c r="B75" t="s">
        <v>98</v>
      </c>
      <c r="C75" t="s">
        <v>438</v>
      </c>
      <c r="D75" t="s">
        <v>546</v>
      </c>
      <c r="E75" t="s">
        <v>547</v>
      </c>
      <c r="F75">
        <v>102419</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1</v>
      </c>
      <c r="AO75">
        <v>10</v>
      </c>
      <c r="AP75">
        <v>20</v>
      </c>
      <c r="AQ75">
        <v>25</v>
      </c>
      <c r="AR75">
        <v>41</v>
      </c>
      <c r="AS75">
        <v>54</v>
      </c>
      <c r="AT75">
        <v>76</v>
      </c>
      <c r="AU75">
        <v>110</v>
      </c>
      <c r="AV75">
        <v>150</v>
      </c>
      <c r="AW75">
        <v>185</v>
      </c>
      <c r="AX75">
        <v>256</v>
      </c>
      <c r="AY75">
        <v>383</v>
      </c>
      <c r="AZ75">
        <v>541</v>
      </c>
      <c r="BA75">
        <v>710</v>
      </c>
      <c r="BB75">
        <v>943</v>
      </c>
      <c r="BC75">
        <v>1238</v>
      </c>
      <c r="BD75">
        <v>1586</v>
      </c>
      <c r="BE75">
        <v>2067</v>
      </c>
      <c r="BF75">
        <v>2542</v>
      </c>
      <c r="BG75">
        <v>2996</v>
      </c>
      <c r="BH75">
        <v>3401</v>
      </c>
      <c r="BI75">
        <v>3882</v>
      </c>
      <c r="BJ75">
        <v>4322</v>
      </c>
      <c r="BK75">
        <v>4661</v>
      </c>
      <c r="BL75">
        <v>4946</v>
      </c>
      <c r="BM75">
        <v>5249</v>
      </c>
      <c r="BN75">
        <v>5533</v>
      </c>
      <c r="BO75">
        <v>5878</v>
      </c>
      <c r="BP75">
        <v>6218</v>
      </c>
      <c r="BQ75">
        <v>6576</v>
      </c>
      <c r="BR75">
        <v>6916</v>
      </c>
      <c r="BS75">
        <v>7263</v>
      </c>
      <c r="BT75">
        <v>7537</v>
      </c>
      <c r="BU75">
        <v>7792</v>
      </c>
      <c r="BV75">
        <v>8033</v>
      </c>
      <c r="BW75">
        <v>8230</v>
      </c>
      <c r="BX75">
        <v>8358</v>
      </c>
      <c r="BY75">
        <v>8473</v>
      </c>
      <c r="BZ75">
        <v>8568</v>
      </c>
      <c r="CA75">
        <v>8647</v>
      </c>
      <c r="CB75">
        <v>8712</v>
      </c>
      <c r="CC75">
        <v>8725</v>
      </c>
      <c r="CD75">
        <v>8739</v>
      </c>
      <c r="CE75">
        <v>8750</v>
      </c>
      <c r="CF75">
        <v>8760</v>
      </c>
      <c r="CG75">
        <v>8760</v>
      </c>
      <c r="CH75">
        <v>8760</v>
      </c>
      <c r="CI75">
        <v>8760</v>
      </c>
      <c r="CJ75">
        <v>8760</v>
      </c>
      <c r="CK75">
        <v>8760</v>
      </c>
      <c r="CL75">
        <v>8760</v>
      </c>
      <c r="CM75">
        <v>8760</v>
      </c>
      <c r="CN75">
        <v>8760</v>
      </c>
      <c r="CO75">
        <v>8760</v>
      </c>
      <c r="CP75">
        <v>8760</v>
      </c>
      <c r="CQ75">
        <v>8760</v>
      </c>
      <c r="CR75">
        <v>8760</v>
      </c>
      <c r="CS75">
        <v>8760</v>
      </c>
      <c r="CT75">
        <v>8760</v>
      </c>
      <c r="CU75">
        <v>8760</v>
      </c>
      <c r="CV75">
        <v>8760</v>
      </c>
      <c r="CW75">
        <v>8760</v>
      </c>
      <c r="CX75">
        <v>8760</v>
      </c>
      <c r="CY75">
        <v>8760</v>
      </c>
      <c r="CZ75">
        <v>8760</v>
      </c>
      <c r="DA75">
        <v>8760</v>
      </c>
      <c r="DB75">
        <v>8760</v>
      </c>
    </row>
    <row r="76" spans="1:106" x14ac:dyDescent="0.25">
      <c r="A76" s="13" t="s">
        <v>94</v>
      </c>
      <c r="B76" t="s">
        <v>371</v>
      </c>
      <c r="C76" t="s">
        <v>438</v>
      </c>
      <c r="D76" t="s">
        <v>548</v>
      </c>
      <c r="E76" t="s">
        <v>549</v>
      </c>
      <c r="F76">
        <v>102344</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1</v>
      </c>
      <c r="AN76">
        <v>3</v>
      </c>
      <c r="AO76">
        <v>8</v>
      </c>
      <c r="AP76">
        <v>12</v>
      </c>
      <c r="AQ76">
        <v>18</v>
      </c>
      <c r="AR76">
        <v>32</v>
      </c>
      <c r="AS76">
        <v>56</v>
      </c>
      <c r="AT76">
        <v>100</v>
      </c>
      <c r="AU76">
        <v>147</v>
      </c>
      <c r="AV76">
        <v>240</v>
      </c>
      <c r="AW76">
        <v>322</v>
      </c>
      <c r="AX76">
        <v>446</v>
      </c>
      <c r="AY76">
        <v>592</v>
      </c>
      <c r="AZ76">
        <v>810</v>
      </c>
      <c r="BA76">
        <v>1055</v>
      </c>
      <c r="BB76">
        <v>1308</v>
      </c>
      <c r="BC76">
        <v>1578</v>
      </c>
      <c r="BD76">
        <v>1941</v>
      </c>
      <c r="BE76">
        <v>2412</v>
      </c>
      <c r="BF76">
        <v>2823</v>
      </c>
      <c r="BG76">
        <v>3264</v>
      </c>
      <c r="BH76">
        <v>3653</v>
      </c>
      <c r="BI76">
        <v>4022</v>
      </c>
      <c r="BJ76">
        <v>4357</v>
      </c>
      <c r="BK76">
        <v>4680</v>
      </c>
      <c r="BL76">
        <v>4982</v>
      </c>
      <c r="BM76">
        <v>5291</v>
      </c>
      <c r="BN76">
        <v>5636</v>
      </c>
      <c r="BO76">
        <v>6017</v>
      </c>
      <c r="BP76">
        <v>6388</v>
      </c>
      <c r="BQ76">
        <v>6767</v>
      </c>
      <c r="BR76">
        <v>7086</v>
      </c>
      <c r="BS76">
        <v>7369</v>
      </c>
      <c r="BT76">
        <v>7635</v>
      </c>
      <c r="BU76">
        <v>7868</v>
      </c>
      <c r="BV76">
        <v>8058</v>
      </c>
      <c r="BW76">
        <v>8211</v>
      </c>
      <c r="BX76">
        <v>8325</v>
      </c>
      <c r="BY76">
        <v>8431</v>
      </c>
      <c r="BZ76">
        <v>8511</v>
      </c>
      <c r="CA76">
        <v>8582</v>
      </c>
      <c r="CB76">
        <v>8637</v>
      </c>
      <c r="CC76">
        <v>8685</v>
      </c>
      <c r="CD76">
        <v>8711</v>
      </c>
      <c r="CE76">
        <v>8721</v>
      </c>
      <c r="CF76">
        <v>8734</v>
      </c>
      <c r="CG76">
        <v>8750</v>
      </c>
      <c r="CH76">
        <v>8757</v>
      </c>
      <c r="CI76">
        <v>8760</v>
      </c>
      <c r="CJ76">
        <v>8760</v>
      </c>
      <c r="CK76">
        <v>8760</v>
      </c>
      <c r="CL76">
        <v>8760</v>
      </c>
      <c r="CM76">
        <v>8760</v>
      </c>
      <c r="CN76">
        <v>8760</v>
      </c>
      <c r="CO76">
        <v>8760</v>
      </c>
      <c r="CP76">
        <v>8760</v>
      </c>
      <c r="CQ76">
        <v>8760</v>
      </c>
      <c r="CR76">
        <v>8760</v>
      </c>
      <c r="CS76">
        <v>8760</v>
      </c>
      <c r="CT76">
        <v>8760</v>
      </c>
      <c r="CU76">
        <v>8760</v>
      </c>
      <c r="CV76">
        <v>8760</v>
      </c>
      <c r="CW76">
        <v>8760</v>
      </c>
      <c r="CX76">
        <v>8760</v>
      </c>
      <c r="CY76">
        <v>8760</v>
      </c>
      <c r="CZ76">
        <v>8760</v>
      </c>
      <c r="DA76">
        <v>8760</v>
      </c>
      <c r="DB76">
        <v>8760</v>
      </c>
    </row>
    <row r="77" spans="1:106" x14ac:dyDescent="0.25">
      <c r="A77" s="13" t="s">
        <v>95</v>
      </c>
      <c r="B77" t="s">
        <v>372</v>
      </c>
      <c r="C77" t="s">
        <v>438</v>
      </c>
      <c r="D77" t="s">
        <v>550</v>
      </c>
      <c r="E77" t="s">
        <v>551</v>
      </c>
      <c r="F77">
        <v>102535</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1</v>
      </c>
      <c r="AK77">
        <v>3</v>
      </c>
      <c r="AL77">
        <v>7</v>
      </c>
      <c r="AM77">
        <v>14</v>
      </c>
      <c r="AN77">
        <v>35</v>
      </c>
      <c r="AO77">
        <v>84</v>
      </c>
      <c r="AP77">
        <v>136</v>
      </c>
      <c r="AQ77">
        <v>169</v>
      </c>
      <c r="AR77">
        <v>216</v>
      </c>
      <c r="AS77">
        <v>270</v>
      </c>
      <c r="AT77">
        <v>320</v>
      </c>
      <c r="AU77">
        <v>401</v>
      </c>
      <c r="AV77">
        <v>464</v>
      </c>
      <c r="AW77">
        <v>543</v>
      </c>
      <c r="AX77">
        <v>639</v>
      </c>
      <c r="AY77">
        <v>768</v>
      </c>
      <c r="AZ77">
        <v>915</v>
      </c>
      <c r="BA77">
        <v>1100</v>
      </c>
      <c r="BB77">
        <v>1372</v>
      </c>
      <c r="BC77">
        <v>1631</v>
      </c>
      <c r="BD77">
        <v>1960</v>
      </c>
      <c r="BE77">
        <v>2438</v>
      </c>
      <c r="BF77">
        <v>2881</v>
      </c>
      <c r="BG77">
        <v>3331</v>
      </c>
      <c r="BH77">
        <v>3681</v>
      </c>
      <c r="BI77">
        <v>4003</v>
      </c>
      <c r="BJ77">
        <v>4328</v>
      </c>
      <c r="BK77">
        <v>4633</v>
      </c>
      <c r="BL77">
        <v>4927</v>
      </c>
      <c r="BM77">
        <v>5227</v>
      </c>
      <c r="BN77">
        <v>5541</v>
      </c>
      <c r="BO77">
        <v>5892</v>
      </c>
      <c r="BP77">
        <v>6236</v>
      </c>
      <c r="BQ77">
        <v>6592</v>
      </c>
      <c r="BR77">
        <v>6925</v>
      </c>
      <c r="BS77">
        <v>7250</v>
      </c>
      <c r="BT77">
        <v>7565</v>
      </c>
      <c r="BU77">
        <v>7790</v>
      </c>
      <c r="BV77">
        <v>8010</v>
      </c>
      <c r="BW77">
        <v>8181</v>
      </c>
      <c r="BX77">
        <v>8302</v>
      </c>
      <c r="BY77">
        <v>8404</v>
      </c>
      <c r="BZ77">
        <v>8478</v>
      </c>
      <c r="CA77">
        <v>8546</v>
      </c>
      <c r="CB77">
        <v>8596</v>
      </c>
      <c r="CC77">
        <v>8654</v>
      </c>
      <c r="CD77">
        <v>8689</v>
      </c>
      <c r="CE77">
        <v>8714</v>
      </c>
      <c r="CF77">
        <v>8736</v>
      </c>
      <c r="CG77">
        <v>8758</v>
      </c>
      <c r="CH77">
        <v>8760</v>
      </c>
      <c r="CI77">
        <v>8760</v>
      </c>
      <c r="CJ77">
        <v>8760</v>
      </c>
      <c r="CK77">
        <v>8760</v>
      </c>
      <c r="CL77">
        <v>8760</v>
      </c>
      <c r="CM77">
        <v>8760</v>
      </c>
      <c r="CN77">
        <v>8760</v>
      </c>
      <c r="CO77">
        <v>8760</v>
      </c>
      <c r="CP77">
        <v>8760</v>
      </c>
      <c r="CQ77">
        <v>8760</v>
      </c>
      <c r="CR77">
        <v>8760</v>
      </c>
      <c r="CS77">
        <v>8760</v>
      </c>
      <c r="CT77">
        <v>8760</v>
      </c>
      <c r="CU77">
        <v>8760</v>
      </c>
      <c r="CV77">
        <v>8760</v>
      </c>
      <c r="CW77">
        <v>8760</v>
      </c>
      <c r="CX77">
        <v>8760</v>
      </c>
      <c r="CY77">
        <v>8760</v>
      </c>
      <c r="CZ77">
        <v>8760</v>
      </c>
      <c r="DA77">
        <v>8760</v>
      </c>
      <c r="DB77">
        <v>8760</v>
      </c>
    </row>
    <row r="78" spans="1:106" x14ac:dyDescent="0.25">
      <c r="A78" s="13" t="s">
        <v>96</v>
      </c>
      <c r="B78" t="s">
        <v>101</v>
      </c>
      <c r="C78" t="s">
        <v>438</v>
      </c>
      <c r="D78" t="s">
        <v>552</v>
      </c>
      <c r="E78" t="s">
        <v>553</v>
      </c>
      <c r="F78">
        <v>102248</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2</v>
      </c>
      <c r="AK78">
        <v>10</v>
      </c>
      <c r="AL78">
        <v>15</v>
      </c>
      <c r="AM78">
        <v>20</v>
      </c>
      <c r="AN78">
        <v>43</v>
      </c>
      <c r="AO78">
        <v>65</v>
      </c>
      <c r="AP78">
        <v>113</v>
      </c>
      <c r="AQ78">
        <v>159</v>
      </c>
      <c r="AR78">
        <v>207</v>
      </c>
      <c r="AS78">
        <v>266</v>
      </c>
      <c r="AT78">
        <v>315</v>
      </c>
      <c r="AU78">
        <v>365</v>
      </c>
      <c r="AV78">
        <v>436</v>
      </c>
      <c r="AW78">
        <v>515</v>
      </c>
      <c r="AX78">
        <v>610</v>
      </c>
      <c r="AY78">
        <v>735</v>
      </c>
      <c r="AZ78">
        <v>858</v>
      </c>
      <c r="BA78">
        <v>1000</v>
      </c>
      <c r="BB78">
        <v>1157</v>
      </c>
      <c r="BC78">
        <v>1386</v>
      </c>
      <c r="BD78">
        <v>1691</v>
      </c>
      <c r="BE78">
        <v>2082</v>
      </c>
      <c r="BF78">
        <v>2453</v>
      </c>
      <c r="BG78">
        <v>2866</v>
      </c>
      <c r="BH78">
        <v>3303</v>
      </c>
      <c r="BI78">
        <v>3778</v>
      </c>
      <c r="BJ78">
        <v>4118</v>
      </c>
      <c r="BK78">
        <v>4441</v>
      </c>
      <c r="BL78">
        <v>4692</v>
      </c>
      <c r="BM78">
        <v>4991</v>
      </c>
      <c r="BN78">
        <v>5337</v>
      </c>
      <c r="BO78">
        <v>5674</v>
      </c>
      <c r="BP78">
        <v>6042</v>
      </c>
      <c r="BQ78">
        <v>6417</v>
      </c>
      <c r="BR78">
        <v>6817</v>
      </c>
      <c r="BS78">
        <v>7227</v>
      </c>
      <c r="BT78">
        <v>7579</v>
      </c>
      <c r="BU78">
        <v>7874</v>
      </c>
      <c r="BV78">
        <v>8160</v>
      </c>
      <c r="BW78">
        <v>8341</v>
      </c>
      <c r="BX78">
        <v>8494</v>
      </c>
      <c r="BY78">
        <v>8592</v>
      </c>
      <c r="BZ78">
        <v>8670</v>
      </c>
      <c r="CA78">
        <v>8719</v>
      </c>
      <c r="CB78">
        <v>8743</v>
      </c>
      <c r="CC78">
        <v>8754</v>
      </c>
      <c r="CD78">
        <v>8760</v>
      </c>
      <c r="CE78">
        <v>8760</v>
      </c>
      <c r="CF78">
        <v>8760</v>
      </c>
      <c r="CG78">
        <v>8760</v>
      </c>
      <c r="CH78">
        <v>8760</v>
      </c>
      <c r="CI78">
        <v>8760</v>
      </c>
      <c r="CJ78">
        <v>8760</v>
      </c>
      <c r="CK78">
        <v>8760</v>
      </c>
      <c r="CL78">
        <v>8760</v>
      </c>
      <c r="CM78">
        <v>8760</v>
      </c>
      <c r="CN78">
        <v>8760</v>
      </c>
      <c r="CO78">
        <v>8760</v>
      </c>
      <c r="CP78">
        <v>8760</v>
      </c>
      <c r="CQ78">
        <v>8760</v>
      </c>
      <c r="CR78">
        <v>8760</v>
      </c>
      <c r="CS78">
        <v>8760</v>
      </c>
      <c r="CT78">
        <v>8760</v>
      </c>
      <c r="CU78">
        <v>8760</v>
      </c>
      <c r="CV78">
        <v>8760</v>
      </c>
      <c r="CW78">
        <v>8760</v>
      </c>
      <c r="CX78">
        <v>8760</v>
      </c>
      <c r="CY78">
        <v>8760</v>
      </c>
      <c r="CZ78">
        <v>8760</v>
      </c>
      <c r="DA78">
        <v>8760</v>
      </c>
      <c r="DB78">
        <v>8760</v>
      </c>
    </row>
    <row r="79" spans="1:106" x14ac:dyDescent="0.25">
      <c r="A79" s="13" t="s">
        <v>97</v>
      </c>
      <c r="B79" t="s">
        <v>93</v>
      </c>
      <c r="C79" t="s">
        <v>438</v>
      </c>
      <c r="D79" t="s">
        <v>554</v>
      </c>
      <c r="E79" t="s">
        <v>555</v>
      </c>
      <c r="F79">
        <v>102813</v>
      </c>
      <c r="G79">
        <v>0</v>
      </c>
      <c r="H79">
        <v>0</v>
      </c>
      <c r="I79">
        <v>0</v>
      </c>
      <c r="J79">
        <v>0</v>
      </c>
      <c r="K79">
        <v>0</v>
      </c>
      <c r="L79">
        <v>0</v>
      </c>
      <c r="M79">
        <v>0</v>
      </c>
      <c r="N79">
        <v>0</v>
      </c>
      <c r="O79">
        <v>0</v>
      </c>
      <c r="P79">
        <v>0</v>
      </c>
      <c r="Q79">
        <v>0</v>
      </c>
      <c r="R79">
        <v>0</v>
      </c>
      <c r="S79">
        <v>0</v>
      </c>
      <c r="T79">
        <v>0</v>
      </c>
      <c r="U79">
        <v>3</v>
      </c>
      <c r="V79">
        <v>6</v>
      </c>
      <c r="W79">
        <v>8</v>
      </c>
      <c r="X79">
        <v>15</v>
      </c>
      <c r="Y79">
        <v>18</v>
      </c>
      <c r="Z79">
        <v>39</v>
      </c>
      <c r="AA79">
        <v>57</v>
      </c>
      <c r="AB79">
        <v>73</v>
      </c>
      <c r="AC79">
        <v>96</v>
      </c>
      <c r="AD79">
        <v>128</v>
      </c>
      <c r="AE79">
        <v>146</v>
      </c>
      <c r="AF79">
        <v>177</v>
      </c>
      <c r="AG79">
        <v>215</v>
      </c>
      <c r="AH79">
        <v>260</v>
      </c>
      <c r="AI79">
        <v>305</v>
      </c>
      <c r="AJ79">
        <v>359</v>
      </c>
      <c r="AK79">
        <v>428</v>
      </c>
      <c r="AL79">
        <v>511</v>
      </c>
      <c r="AM79">
        <v>588</v>
      </c>
      <c r="AN79">
        <v>665</v>
      </c>
      <c r="AO79">
        <v>756</v>
      </c>
      <c r="AP79">
        <v>846</v>
      </c>
      <c r="AQ79">
        <v>941</v>
      </c>
      <c r="AR79">
        <v>1055</v>
      </c>
      <c r="AS79">
        <v>1209</v>
      </c>
      <c r="AT79">
        <v>1372</v>
      </c>
      <c r="AU79">
        <v>1520</v>
      </c>
      <c r="AV79">
        <v>1669</v>
      </c>
      <c r="AW79">
        <v>1848</v>
      </c>
      <c r="AX79">
        <v>2039</v>
      </c>
      <c r="AY79">
        <v>2279</v>
      </c>
      <c r="AZ79">
        <v>2556</v>
      </c>
      <c r="BA79">
        <v>2901</v>
      </c>
      <c r="BB79">
        <v>3263</v>
      </c>
      <c r="BC79">
        <v>3608</v>
      </c>
      <c r="BD79">
        <v>4011</v>
      </c>
      <c r="BE79">
        <v>4369</v>
      </c>
      <c r="BF79">
        <v>4668</v>
      </c>
      <c r="BG79">
        <v>4938</v>
      </c>
      <c r="BH79">
        <v>5202</v>
      </c>
      <c r="BI79">
        <v>5501</v>
      </c>
      <c r="BJ79">
        <v>5864</v>
      </c>
      <c r="BK79">
        <v>6190</v>
      </c>
      <c r="BL79">
        <v>6476</v>
      </c>
      <c r="BM79">
        <v>6716</v>
      </c>
      <c r="BN79">
        <v>7008</v>
      </c>
      <c r="BO79">
        <v>7241</v>
      </c>
      <c r="BP79">
        <v>7454</v>
      </c>
      <c r="BQ79">
        <v>7674</v>
      </c>
      <c r="BR79">
        <v>7883</v>
      </c>
      <c r="BS79">
        <v>8102</v>
      </c>
      <c r="BT79">
        <v>8284</v>
      </c>
      <c r="BU79">
        <v>8424</v>
      </c>
      <c r="BV79">
        <v>8540</v>
      </c>
      <c r="BW79">
        <v>8629</v>
      </c>
      <c r="BX79">
        <v>8676</v>
      </c>
      <c r="BY79">
        <v>8706</v>
      </c>
      <c r="BZ79">
        <v>8729</v>
      </c>
      <c r="CA79">
        <v>8734</v>
      </c>
      <c r="CB79">
        <v>8743</v>
      </c>
      <c r="CC79">
        <v>8755</v>
      </c>
      <c r="CD79">
        <v>8760</v>
      </c>
      <c r="CE79">
        <v>8760</v>
      </c>
      <c r="CF79">
        <v>8760</v>
      </c>
      <c r="CG79">
        <v>8760</v>
      </c>
      <c r="CH79">
        <v>8760</v>
      </c>
      <c r="CI79">
        <v>8760</v>
      </c>
      <c r="CJ79">
        <v>8760</v>
      </c>
      <c r="CK79">
        <v>8760</v>
      </c>
      <c r="CL79">
        <v>8760</v>
      </c>
      <c r="CM79">
        <v>8760</v>
      </c>
      <c r="CN79">
        <v>8760</v>
      </c>
      <c r="CO79">
        <v>8760</v>
      </c>
      <c r="CP79">
        <v>8760</v>
      </c>
      <c r="CQ79">
        <v>8760</v>
      </c>
      <c r="CR79">
        <v>8760</v>
      </c>
      <c r="CS79">
        <v>8760</v>
      </c>
      <c r="CT79">
        <v>8760</v>
      </c>
      <c r="CU79">
        <v>8760</v>
      </c>
      <c r="CV79">
        <v>8760</v>
      </c>
      <c r="CW79">
        <v>8760</v>
      </c>
      <c r="CX79">
        <v>8760</v>
      </c>
      <c r="CY79">
        <v>8760</v>
      </c>
      <c r="CZ79">
        <v>8760</v>
      </c>
      <c r="DA79">
        <v>8760</v>
      </c>
      <c r="DB79">
        <v>8760</v>
      </c>
    </row>
    <row r="80" spans="1:106" x14ac:dyDescent="0.25">
      <c r="A80" s="13" t="s">
        <v>98</v>
      </c>
      <c r="B80" t="s">
        <v>95</v>
      </c>
      <c r="C80" t="s">
        <v>438</v>
      </c>
      <c r="D80" t="s">
        <v>556</v>
      </c>
      <c r="E80" t="s">
        <v>557</v>
      </c>
      <c r="F80">
        <v>102012</v>
      </c>
      <c r="G80">
        <v>0</v>
      </c>
      <c r="H80">
        <v>0</v>
      </c>
      <c r="I80">
        <v>0</v>
      </c>
      <c r="J80">
        <v>0</v>
      </c>
      <c r="K80">
        <v>0</v>
      </c>
      <c r="L80">
        <v>0</v>
      </c>
      <c r="M80">
        <v>0</v>
      </c>
      <c r="N80">
        <v>0</v>
      </c>
      <c r="O80">
        <v>0</v>
      </c>
      <c r="P80">
        <v>0</v>
      </c>
      <c r="Q80">
        <v>0</v>
      </c>
      <c r="R80">
        <v>0</v>
      </c>
      <c r="S80">
        <v>0</v>
      </c>
      <c r="T80">
        <v>0</v>
      </c>
      <c r="U80">
        <v>0</v>
      </c>
      <c r="V80">
        <v>0</v>
      </c>
      <c r="W80">
        <v>0</v>
      </c>
      <c r="X80">
        <v>0</v>
      </c>
      <c r="Y80">
        <v>0</v>
      </c>
      <c r="Z80">
        <v>13</v>
      </c>
      <c r="AA80">
        <v>16</v>
      </c>
      <c r="AB80">
        <v>20</v>
      </c>
      <c r="AC80">
        <v>54</v>
      </c>
      <c r="AD80">
        <v>77</v>
      </c>
      <c r="AE80">
        <v>108</v>
      </c>
      <c r="AF80">
        <v>142</v>
      </c>
      <c r="AG80">
        <v>180</v>
      </c>
      <c r="AH80">
        <v>236</v>
      </c>
      <c r="AI80">
        <v>317</v>
      </c>
      <c r="AJ80">
        <v>385</v>
      </c>
      <c r="AK80">
        <v>451</v>
      </c>
      <c r="AL80">
        <v>534</v>
      </c>
      <c r="AM80">
        <v>641</v>
      </c>
      <c r="AN80">
        <v>745</v>
      </c>
      <c r="AO80">
        <v>844</v>
      </c>
      <c r="AP80">
        <v>946</v>
      </c>
      <c r="AQ80">
        <v>1085</v>
      </c>
      <c r="AR80">
        <v>1207</v>
      </c>
      <c r="AS80">
        <v>1329</v>
      </c>
      <c r="AT80">
        <v>1543</v>
      </c>
      <c r="AU80">
        <v>1772</v>
      </c>
      <c r="AV80">
        <v>1990</v>
      </c>
      <c r="AW80">
        <v>2253</v>
      </c>
      <c r="AX80">
        <v>2480</v>
      </c>
      <c r="AY80">
        <v>2748</v>
      </c>
      <c r="AZ80">
        <v>3029</v>
      </c>
      <c r="BA80">
        <v>3343</v>
      </c>
      <c r="BB80">
        <v>3686</v>
      </c>
      <c r="BC80">
        <v>4002</v>
      </c>
      <c r="BD80">
        <v>4342</v>
      </c>
      <c r="BE80">
        <v>4612</v>
      </c>
      <c r="BF80">
        <v>4909</v>
      </c>
      <c r="BG80">
        <v>5205</v>
      </c>
      <c r="BH80">
        <v>5516</v>
      </c>
      <c r="BI80">
        <v>5764</v>
      </c>
      <c r="BJ80">
        <v>6067</v>
      </c>
      <c r="BK80">
        <v>6357</v>
      </c>
      <c r="BL80">
        <v>6602</v>
      </c>
      <c r="BM80">
        <v>6857</v>
      </c>
      <c r="BN80">
        <v>7099</v>
      </c>
      <c r="BO80">
        <v>7380</v>
      </c>
      <c r="BP80">
        <v>7659</v>
      </c>
      <c r="BQ80">
        <v>7895</v>
      </c>
      <c r="BR80">
        <v>8105</v>
      </c>
      <c r="BS80">
        <v>8278</v>
      </c>
      <c r="BT80">
        <v>8411</v>
      </c>
      <c r="BU80">
        <v>8531</v>
      </c>
      <c r="BV80">
        <v>8615</v>
      </c>
      <c r="BW80">
        <v>8674</v>
      </c>
      <c r="BX80">
        <v>8710</v>
      </c>
      <c r="BY80">
        <v>8737</v>
      </c>
      <c r="BZ80">
        <v>8755</v>
      </c>
      <c r="CA80">
        <v>8757</v>
      </c>
      <c r="CB80">
        <v>8759</v>
      </c>
      <c r="CC80">
        <v>8760</v>
      </c>
      <c r="CD80">
        <v>8760</v>
      </c>
      <c r="CE80">
        <v>8760</v>
      </c>
      <c r="CF80">
        <v>8760</v>
      </c>
      <c r="CG80">
        <v>8760</v>
      </c>
      <c r="CH80">
        <v>8760</v>
      </c>
      <c r="CI80">
        <v>8760</v>
      </c>
      <c r="CJ80">
        <v>8760</v>
      </c>
      <c r="CK80">
        <v>8760</v>
      </c>
      <c r="CL80">
        <v>8760</v>
      </c>
      <c r="CM80">
        <v>8760</v>
      </c>
      <c r="CN80">
        <v>8760</v>
      </c>
      <c r="CO80">
        <v>8760</v>
      </c>
      <c r="CP80">
        <v>8760</v>
      </c>
      <c r="CQ80">
        <v>8760</v>
      </c>
      <c r="CR80">
        <v>8760</v>
      </c>
      <c r="CS80">
        <v>8760</v>
      </c>
      <c r="CT80">
        <v>8760</v>
      </c>
      <c r="CU80">
        <v>8760</v>
      </c>
      <c r="CV80">
        <v>8760</v>
      </c>
      <c r="CW80">
        <v>8760</v>
      </c>
      <c r="CX80">
        <v>8760</v>
      </c>
      <c r="CY80">
        <v>8760</v>
      </c>
      <c r="CZ80">
        <v>8760</v>
      </c>
      <c r="DA80">
        <v>8760</v>
      </c>
      <c r="DB80">
        <v>8760</v>
      </c>
    </row>
    <row r="81" spans="1:106" x14ac:dyDescent="0.25">
      <c r="A81" s="13" t="s">
        <v>99</v>
      </c>
      <c r="B81" t="s">
        <v>96</v>
      </c>
      <c r="C81" t="s">
        <v>438</v>
      </c>
      <c r="D81" t="s">
        <v>558</v>
      </c>
      <c r="E81" t="s">
        <v>559</v>
      </c>
      <c r="F81">
        <v>102711</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1</v>
      </c>
      <c r="AK81">
        <v>9</v>
      </c>
      <c r="AL81">
        <v>15</v>
      </c>
      <c r="AM81">
        <v>25</v>
      </c>
      <c r="AN81">
        <v>41</v>
      </c>
      <c r="AO81">
        <v>53</v>
      </c>
      <c r="AP81">
        <v>92</v>
      </c>
      <c r="AQ81">
        <v>149</v>
      </c>
      <c r="AR81">
        <v>198</v>
      </c>
      <c r="AS81">
        <v>262</v>
      </c>
      <c r="AT81">
        <v>340</v>
      </c>
      <c r="AU81">
        <v>435</v>
      </c>
      <c r="AV81">
        <v>570</v>
      </c>
      <c r="AW81">
        <v>677</v>
      </c>
      <c r="AX81">
        <v>780</v>
      </c>
      <c r="AY81">
        <v>915</v>
      </c>
      <c r="AZ81">
        <v>1063</v>
      </c>
      <c r="BA81">
        <v>1255</v>
      </c>
      <c r="BB81">
        <v>1525</v>
      </c>
      <c r="BC81">
        <v>1813</v>
      </c>
      <c r="BD81">
        <v>2105</v>
      </c>
      <c r="BE81">
        <v>2539</v>
      </c>
      <c r="BF81">
        <v>2966</v>
      </c>
      <c r="BG81">
        <v>3387</v>
      </c>
      <c r="BH81">
        <v>3759</v>
      </c>
      <c r="BI81">
        <v>4092</v>
      </c>
      <c r="BJ81">
        <v>4464</v>
      </c>
      <c r="BK81">
        <v>4795</v>
      </c>
      <c r="BL81">
        <v>5174</v>
      </c>
      <c r="BM81">
        <v>5525</v>
      </c>
      <c r="BN81">
        <v>5858</v>
      </c>
      <c r="BO81">
        <v>6186</v>
      </c>
      <c r="BP81">
        <v>6507</v>
      </c>
      <c r="BQ81">
        <v>6822</v>
      </c>
      <c r="BR81">
        <v>7111</v>
      </c>
      <c r="BS81">
        <v>7403</v>
      </c>
      <c r="BT81">
        <v>7654</v>
      </c>
      <c r="BU81">
        <v>7887</v>
      </c>
      <c r="BV81">
        <v>8096</v>
      </c>
      <c r="BW81">
        <v>8273</v>
      </c>
      <c r="BX81">
        <v>8428</v>
      </c>
      <c r="BY81">
        <v>8549</v>
      </c>
      <c r="BZ81">
        <v>8615</v>
      </c>
      <c r="CA81">
        <v>8664</v>
      </c>
      <c r="CB81">
        <v>8688</v>
      </c>
      <c r="CC81">
        <v>8710</v>
      </c>
      <c r="CD81">
        <v>8729</v>
      </c>
      <c r="CE81">
        <v>8737</v>
      </c>
      <c r="CF81">
        <v>8748</v>
      </c>
      <c r="CG81">
        <v>8759</v>
      </c>
      <c r="CH81">
        <v>8760</v>
      </c>
      <c r="CI81">
        <v>8760</v>
      </c>
      <c r="CJ81">
        <v>8760</v>
      </c>
      <c r="CK81">
        <v>8760</v>
      </c>
      <c r="CL81">
        <v>8760</v>
      </c>
      <c r="CM81">
        <v>8760</v>
      </c>
      <c r="CN81">
        <v>8760</v>
      </c>
      <c r="CO81">
        <v>8760</v>
      </c>
      <c r="CP81">
        <v>8760</v>
      </c>
      <c r="CQ81">
        <v>8760</v>
      </c>
      <c r="CR81">
        <v>8760</v>
      </c>
      <c r="CS81">
        <v>8760</v>
      </c>
      <c r="CT81">
        <v>8760</v>
      </c>
      <c r="CU81">
        <v>8760</v>
      </c>
      <c r="CV81">
        <v>8760</v>
      </c>
      <c r="CW81">
        <v>8760</v>
      </c>
      <c r="CX81">
        <v>8760</v>
      </c>
      <c r="CY81">
        <v>8760</v>
      </c>
      <c r="CZ81">
        <v>8760</v>
      </c>
      <c r="DA81">
        <v>8760</v>
      </c>
      <c r="DB81">
        <v>8760</v>
      </c>
    </row>
    <row r="82" spans="1:106" x14ac:dyDescent="0.25">
      <c r="A82" s="13" t="s">
        <v>100</v>
      </c>
      <c r="B82" t="s">
        <v>99</v>
      </c>
      <c r="C82" t="s">
        <v>438</v>
      </c>
      <c r="D82" t="s">
        <v>560</v>
      </c>
      <c r="E82" t="s">
        <v>561</v>
      </c>
      <c r="F82">
        <v>102201</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1</v>
      </c>
      <c r="AP82">
        <v>8</v>
      </c>
      <c r="AQ82">
        <v>13</v>
      </c>
      <c r="AR82">
        <v>18</v>
      </c>
      <c r="AS82">
        <v>23</v>
      </c>
      <c r="AT82">
        <v>30</v>
      </c>
      <c r="AU82">
        <v>62</v>
      </c>
      <c r="AV82">
        <v>84</v>
      </c>
      <c r="AW82">
        <v>126</v>
      </c>
      <c r="AX82">
        <v>162</v>
      </c>
      <c r="AY82">
        <v>196</v>
      </c>
      <c r="AZ82">
        <v>248</v>
      </c>
      <c r="BA82">
        <v>332</v>
      </c>
      <c r="BB82">
        <v>511</v>
      </c>
      <c r="BC82">
        <v>763</v>
      </c>
      <c r="BD82">
        <v>1043</v>
      </c>
      <c r="BE82">
        <v>1443</v>
      </c>
      <c r="BF82">
        <v>1967</v>
      </c>
      <c r="BG82">
        <v>2438</v>
      </c>
      <c r="BH82">
        <v>2945</v>
      </c>
      <c r="BI82">
        <v>3378</v>
      </c>
      <c r="BJ82">
        <v>3730</v>
      </c>
      <c r="BK82">
        <v>4032</v>
      </c>
      <c r="BL82">
        <v>4395</v>
      </c>
      <c r="BM82">
        <v>4708</v>
      </c>
      <c r="BN82">
        <v>5044</v>
      </c>
      <c r="BO82">
        <v>5359</v>
      </c>
      <c r="BP82">
        <v>5721</v>
      </c>
      <c r="BQ82">
        <v>6124</v>
      </c>
      <c r="BR82">
        <v>6576</v>
      </c>
      <c r="BS82">
        <v>7034</v>
      </c>
      <c r="BT82">
        <v>7408</v>
      </c>
      <c r="BU82">
        <v>7708</v>
      </c>
      <c r="BV82">
        <v>7966</v>
      </c>
      <c r="BW82">
        <v>8138</v>
      </c>
      <c r="BX82">
        <v>8277</v>
      </c>
      <c r="BY82">
        <v>8401</v>
      </c>
      <c r="BZ82">
        <v>8495</v>
      </c>
      <c r="CA82">
        <v>8592</v>
      </c>
      <c r="CB82">
        <v>8667</v>
      </c>
      <c r="CC82">
        <v>8697</v>
      </c>
      <c r="CD82">
        <v>8718</v>
      </c>
      <c r="CE82">
        <v>8738</v>
      </c>
      <c r="CF82">
        <v>8750</v>
      </c>
      <c r="CG82">
        <v>8756</v>
      </c>
      <c r="CH82">
        <v>8759</v>
      </c>
      <c r="CI82">
        <v>8760</v>
      </c>
      <c r="CJ82">
        <v>8760</v>
      </c>
      <c r="CK82">
        <v>8760</v>
      </c>
      <c r="CL82">
        <v>8760</v>
      </c>
      <c r="CM82">
        <v>8760</v>
      </c>
      <c r="CN82">
        <v>8760</v>
      </c>
      <c r="CO82">
        <v>8760</v>
      </c>
      <c r="CP82">
        <v>8760</v>
      </c>
      <c r="CQ82">
        <v>8760</v>
      </c>
      <c r="CR82">
        <v>8760</v>
      </c>
      <c r="CS82">
        <v>8760</v>
      </c>
      <c r="CT82">
        <v>8760</v>
      </c>
      <c r="CU82">
        <v>8760</v>
      </c>
      <c r="CV82">
        <v>8760</v>
      </c>
      <c r="CW82">
        <v>8760</v>
      </c>
      <c r="CX82">
        <v>8760</v>
      </c>
      <c r="CY82">
        <v>8760</v>
      </c>
      <c r="CZ82">
        <v>8760</v>
      </c>
      <c r="DA82">
        <v>8760</v>
      </c>
      <c r="DB82">
        <v>8760</v>
      </c>
    </row>
    <row r="83" spans="1:106" x14ac:dyDescent="0.25">
      <c r="A83" s="13" t="s">
        <v>101</v>
      </c>
      <c r="B83" t="s">
        <v>100</v>
      </c>
      <c r="C83" t="s">
        <v>438</v>
      </c>
      <c r="D83" t="s">
        <v>562</v>
      </c>
      <c r="E83" t="s">
        <v>563</v>
      </c>
      <c r="F83">
        <v>102519</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4</v>
      </c>
      <c r="AL83">
        <v>9</v>
      </c>
      <c r="AM83">
        <v>18</v>
      </c>
      <c r="AN83">
        <v>25</v>
      </c>
      <c r="AO83">
        <v>41</v>
      </c>
      <c r="AP83">
        <v>57</v>
      </c>
      <c r="AQ83">
        <v>72</v>
      </c>
      <c r="AR83">
        <v>84</v>
      </c>
      <c r="AS83">
        <v>107</v>
      </c>
      <c r="AT83">
        <v>130</v>
      </c>
      <c r="AU83">
        <v>163</v>
      </c>
      <c r="AV83">
        <v>211</v>
      </c>
      <c r="AW83">
        <v>264</v>
      </c>
      <c r="AX83">
        <v>367</v>
      </c>
      <c r="AY83">
        <v>500</v>
      </c>
      <c r="AZ83">
        <v>659</v>
      </c>
      <c r="BA83">
        <v>825</v>
      </c>
      <c r="BB83">
        <v>1038</v>
      </c>
      <c r="BC83">
        <v>1294</v>
      </c>
      <c r="BD83">
        <v>1594</v>
      </c>
      <c r="BE83">
        <v>2055</v>
      </c>
      <c r="BF83">
        <v>2447</v>
      </c>
      <c r="BG83">
        <v>2854</v>
      </c>
      <c r="BH83">
        <v>3311</v>
      </c>
      <c r="BI83">
        <v>3695</v>
      </c>
      <c r="BJ83">
        <v>4075</v>
      </c>
      <c r="BK83">
        <v>4431</v>
      </c>
      <c r="BL83">
        <v>4785</v>
      </c>
      <c r="BM83">
        <v>5101</v>
      </c>
      <c r="BN83">
        <v>5447</v>
      </c>
      <c r="BO83">
        <v>5809</v>
      </c>
      <c r="BP83">
        <v>6171</v>
      </c>
      <c r="BQ83">
        <v>6591</v>
      </c>
      <c r="BR83">
        <v>6987</v>
      </c>
      <c r="BS83">
        <v>7355</v>
      </c>
      <c r="BT83">
        <v>7678</v>
      </c>
      <c r="BU83">
        <v>7941</v>
      </c>
      <c r="BV83">
        <v>8140</v>
      </c>
      <c r="BW83">
        <v>8298</v>
      </c>
      <c r="BX83">
        <v>8426</v>
      </c>
      <c r="BY83">
        <v>8514</v>
      </c>
      <c r="BZ83">
        <v>8579</v>
      </c>
      <c r="CA83">
        <v>8625</v>
      </c>
      <c r="CB83">
        <v>8670</v>
      </c>
      <c r="CC83">
        <v>8689</v>
      </c>
      <c r="CD83">
        <v>8710</v>
      </c>
      <c r="CE83">
        <v>8728</v>
      </c>
      <c r="CF83">
        <v>8749</v>
      </c>
      <c r="CG83">
        <v>8756</v>
      </c>
      <c r="CH83">
        <v>8758</v>
      </c>
      <c r="CI83">
        <v>8760</v>
      </c>
      <c r="CJ83">
        <v>8760</v>
      </c>
      <c r="CK83">
        <v>8760</v>
      </c>
      <c r="CL83">
        <v>8760</v>
      </c>
      <c r="CM83">
        <v>8760</v>
      </c>
      <c r="CN83">
        <v>8760</v>
      </c>
      <c r="CO83">
        <v>8760</v>
      </c>
      <c r="CP83">
        <v>8760</v>
      </c>
      <c r="CQ83">
        <v>8760</v>
      </c>
      <c r="CR83">
        <v>8760</v>
      </c>
      <c r="CS83">
        <v>8760</v>
      </c>
      <c r="CT83">
        <v>8760</v>
      </c>
      <c r="CU83">
        <v>8760</v>
      </c>
      <c r="CV83">
        <v>8760</v>
      </c>
      <c r="CW83">
        <v>8760</v>
      </c>
      <c r="CX83">
        <v>8760</v>
      </c>
      <c r="CY83">
        <v>8760</v>
      </c>
      <c r="CZ83">
        <v>8760</v>
      </c>
      <c r="DA83">
        <v>8760</v>
      </c>
      <c r="DB83">
        <v>8760</v>
      </c>
    </row>
    <row r="84" spans="1:106" x14ac:dyDescent="0.25">
      <c r="A84" s="13" t="s">
        <v>102</v>
      </c>
      <c r="B84" t="s">
        <v>102</v>
      </c>
      <c r="C84" t="s">
        <v>438</v>
      </c>
      <c r="D84" t="s">
        <v>564</v>
      </c>
      <c r="E84" t="s">
        <v>565</v>
      </c>
      <c r="F84">
        <v>102345</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1</v>
      </c>
      <c r="AM84">
        <v>6</v>
      </c>
      <c r="AN84">
        <v>20</v>
      </c>
      <c r="AO84">
        <v>28</v>
      </c>
      <c r="AP84">
        <v>42</v>
      </c>
      <c r="AQ84">
        <v>57</v>
      </c>
      <c r="AR84">
        <v>75</v>
      </c>
      <c r="AS84">
        <v>116</v>
      </c>
      <c r="AT84">
        <v>151</v>
      </c>
      <c r="AU84">
        <v>198</v>
      </c>
      <c r="AV84">
        <v>273</v>
      </c>
      <c r="AW84">
        <v>377</v>
      </c>
      <c r="AX84">
        <v>499</v>
      </c>
      <c r="AY84">
        <v>632</v>
      </c>
      <c r="AZ84">
        <v>789</v>
      </c>
      <c r="BA84">
        <v>939</v>
      </c>
      <c r="BB84">
        <v>1156</v>
      </c>
      <c r="BC84">
        <v>1472</v>
      </c>
      <c r="BD84">
        <v>1802</v>
      </c>
      <c r="BE84">
        <v>2171</v>
      </c>
      <c r="BF84">
        <v>2530</v>
      </c>
      <c r="BG84">
        <v>2877</v>
      </c>
      <c r="BH84">
        <v>3326</v>
      </c>
      <c r="BI84">
        <v>3735</v>
      </c>
      <c r="BJ84">
        <v>4113</v>
      </c>
      <c r="BK84">
        <v>4504</v>
      </c>
      <c r="BL84">
        <v>4914</v>
      </c>
      <c r="BM84">
        <v>5308</v>
      </c>
      <c r="BN84">
        <v>5717</v>
      </c>
      <c r="BO84">
        <v>6125</v>
      </c>
      <c r="BP84">
        <v>6488</v>
      </c>
      <c r="BQ84">
        <v>6851</v>
      </c>
      <c r="BR84">
        <v>7210</v>
      </c>
      <c r="BS84">
        <v>7555</v>
      </c>
      <c r="BT84">
        <v>7837</v>
      </c>
      <c r="BU84">
        <v>8047</v>
      </c>
      <c r="BV84">
        <v>8253</v>
      </c>
      <c r="BW84">
        <v>8378</v>
      </c>
      <c r="BX84">
        <v>8495</v>
      </c>
      <c r="BY84">
        <v>8587</v>
      </c>
      <c r="BZ84">
        <v>8651</v>
      </c>
      <c r="CA84">
        <v>8684</v>
      </c>
      <c r="CB84">
        <v>8709</v>
      </c>
      <c r="CC84">
        <v>8724</v>
      </c>
      <c r="CD84">
        <v>8736</v>
      </c>
      <c r="CE84">
        <v>8750</v>
      </c>
      <c r="CF84">
        <v>8758</v>
      </c>
      <c r="CG84">
        <v>8760</v>
      </c>
      <c r="CH84">
        <v>8760</v>
      </c>
      <c r="CI84">
        <v>8760</v>
      </c>
      <c r="CJ84">
        <v>8760</v>
      </c>
      <c r="CK84">
        <v>8760</v>
      </c>
      <c r="CL84">
        <v>8760</v>
      </c>
      <c r="CM84">
        <v>8760</v>
      </c>
      <c r="CN84">
        <v>8760</v>
      </c>
      <c r="CO84">
        <v>8760</v>
      </c>
      <c r="CP84">
        <v>8760</v>
      </c>
      <c r="CQ84">
        <v>8760</v>
      </c>
      <c r="CR84">
        <v>8760</v>
      </c>
      <c r="CS84">
        <v>8760</v>
      </c>
      <c r="CT84">
        <v>8760</v>
      </c>
      <c r="CU84">
        <v>8760</v>
      </c>
      <c r="CV84">
        <v>8760</v>
      </c>
      <c r="CW84">
        <v>8760</v>
      </c>
      <c r="CX84">
        <v>8760</v>
      </c>
      <c r="CY84">
        <v>8760</v>
      </c>
      <c r="CZ84">
        <v>8760</v>
      </c>
      <c r="DA84">
        <v>8760</v>
      </c>
      <c r="DB84">
        <v>8760</v>
      </c>
    </row>
    <row r="85" spans="1:106" x14ac:dyDescent="0.25">
      <c r="A85" s="13" t="s">
        <v>103</v>
      </c>
      <c r="B85" t="s">
        <v>103</v>
      </c>
      <c r="C85" t="s">
        <v>438</v>
      </c>
      <c r="D85" t="s">
        <v>566</v>
      </c>
      <c r="E85" t="s">
        <v>567</v>
      </c>
      <c r="F85">
        <v>102506</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1</v>
      </c>
      <c r="AG85">
        <v>6</v>
      </c>
      <c r="AH85">
        <v>14</v>
      </c>
      <c r="AI85">
        <v>30</v>
      </c>
      <c r="AJ85">
        <v>41</v>
      </c>
      <c r="AK85">
        <v>57</v>
      </c>
      <c r="AL85">
        <v>67</v>
      </c>
      <c r="AM85">
        <v>94</v>
      </c>
      <c r="AN85">
        <v>120</v>
      </c>
      <c r="AO85">
        <v>146</v>
      </c>
      <c r="AP85">
        <v>170</v>
      </c>
      <c r="AQ85">
        <v>196</v>
      </c>
      <c r="AR85">
        <v>234</v>
      </c>
      <c r="AS85">
        <v>289</v>
      </c>
      <c r="AT85">
        <v>380</v>
      </c>
      <c r="AU85">
        <v>471</v>
      </c>
      <c r="AV85">
        <v>568</v>
      </c>
      <c r="AW85">
        <v>680</v>
      </c>
      <c r="AX85">
        <v>852</v>
      </c>
      <c r="AY85">
        <v>1017</v>
      </c>
      <c r="AZ85">
        <v>1208</v>
      </c>
      <c r="BA85">
        <v>1467</v>
      </c>
      <c r="BB85">
        <v>1793</v>
      </c>
      <c r="BC85">
        <v>2165</v>
      </c>
      <c r="BD85">
        <v>2540</v>
      </c>
      <c r="BE85">
        <v>3009</v>
      </c>
      <c r="BF85">
        <v>3414</v>
      </c>
      <c r="BG85">
        <v>3761</v>
      </c>
      <c r="BH85">
        <v>4144</v>
      </c>
      <c r="BI85">
        <v>4446</v>
      </c>
      <c r="BJ85">
        <v>4830</v>
      </c>
      <c r="BK85">
        <v>5178</v>
      </c>
      <c r="BL85">
        <v>5533</v>
      </c>
      <c r="BM85">
        <v>5796</v>
      </c>
      <c r="BN85">
        <v>6093</v>
      </c>
      <c r="BO85">
        <v>6357</v>
      </c>
      <c r="BP85">
        <v>6657</v>
      </c>
      <c r="BQ85">
        <v>6973</v>
      </c>
      <c r="BR85">
        <v>7290</v>
      </c>
      <c r="BS85">
        <v>7535</v>
      </c>
      <c r="BT85">
        <v>7787</v>
      </c>
      <c r="BU85">
        <v>7985</v>
      </c>
      <c r="BV85">
        <v>8167</v>
      </c>
      <c r="BW85">
        <v>8308</v>
      </c>
      <c r="BX85">
        <v>8413</v>
      </c>
      <c r="BY85">
        <v>8498</v>
      </c>
      <c r="BZ85">
        <v>8560</v>
      </c>
      <c r="CA85">
        <v>8617</v>
      </c>
      <c r="CB85">
        <v>8653</v>
      </c>
      <c r="CC85">
        <v>8680</v>
      </c>
      <c r="CD85">
        <v>8717</v>
      </c>
      <c r="CE85">
        <v>8749</v>
      </c>
      <c r="CF85">
        <v>8756</v>
      </c>
      <c r="CG85">
        <v>8760</v>
      </c>
      <c r="CH85">
        <v>8760</v>
      </c>
      <c r="CI85">
        <v>8760</v>
      </c>
      <c r="CJ85">
        <v>8760</v>
      </c>
      <c r="CK85">
        <v>8760</v>
      </c>
      <c r="CL85">
        <v>8760</v>
      </c>
      <c r="CM85">
        <v>8760</v>
      </c>
      <c r="CN85">
        <v>8760</v>
      </c>
      <c r="CO85">
        <v>8760</v>
      </c>
      <c r="CP85">
        <v>8760</v>
      </c>
      <c r="CQ85">
        <v>8760</v>
      </c>
      <c r="CR85">
        <v>8760</v>
      </c>
      <c r="CS85">
        <v>8760</v>
      </c>
      <c r="CT85">
        <v>8760</v>
      </c>
      <c r="CU85">
        <v>8760</v>
      </c>
      <c r="CV85">
        <v>8760</v>
      </c>
      <c r="CW85">
        <v>8760</v>
      </c>
      <c r="CX85">
        <v>8760</v>
      </c>
      <c r="CY85">
        <v>8760</v>
      </c>
      <c r="CZ85">
        <v>8760</v>
      </c>
      <c r="DA85">
        <v>8760</v>
      </c>
      <c r="DB85">
        <v>8760</v>
      </c>
    </row>
    <row r="86" spans="1:106" x14ac:dyDescent="0.25">
      <c r="A86" s="13" t="s">
        <v>104</v>
      </c>
      <c r="B86" t="s">
        <v>105</v>
      </c>
      <c r="C86" t="s">
        <v>438</v>
      </c>
      <c r="D86" t="s">
        <v>568</v>
      </c>
      <c r="E86" t="s">
        <v>569</v>
      </c>
      <c r="F86">
        <v>102530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1</v>
      </c>
      <c r="AL86">
        <v>3</v>
      </c>
      <c r="AM86">
        <v>7</v>
      </c>
      <c r="AN86">
        <v>12</v>
      </c>
      <c r="AO86">
        <v>24</v>
      </c>
      <c r="AP86">
        <v>58</v>
      </c>
      <c r="AQ86">
        <v>95</v>
      </c>
      <c r="AR86">
        <v>129</v>
      </c>
      <c r="AS86">
        <v>179</v>
      </c>
      <c r="AT86">
        <v>222</v>
      </c>
      <c r="AU86">
        <v>267</v>
      </c>
      <c r="AV86">
        <v>325</v>
      </c>
      <c r="AW86">
        <v>401</v>
      </c>
      <c r="AX86">
        <v>528</v>
      </c>
      <c r="AY86">
        <v>674</v>
      </c>
      <c r="AZ86">
        <v>856</v>
      </c>
      <c r="BA86">
        <v>1098</v>
      </c>
      <c r="BB86">
        <v>1415</v>
      </c>
      <c r="BC86">
        <v>1733</v>
      </c>
      <c r="BD86">
        <v>2099</v>
      </c>
      <c r="BE86">
        <v>2527</v>
      </c>
      <c r="BF86">
        <v>2925</v>
      </c>
      <c r="BG86">
        <v>3319</v>
      </c>
      <c r="BH86">
        <v>3703</v>
      </c>
      <c r="BI86">
        <v>4078</v>
      </c>
      <c r="BJ86">
        <v>4420</v>
      </c>
      <c r="BK86">
        <v>4736</v>
      </c>
      <c r="BL86">
        <v>5043</v>
      </c>
      <c r="BM86">
        <v>5345</v>
      </c>
      <c r="BN86">
        <v>5571</v>
      </c>
      <c r="BO86">
        <v>5863</v>
      </c>
      <c r="BP86">
        <v>6184</v>
      </c>
      <c r="BQ86">
        <v>6552</v>
      </c>
      <c r="BR86">
        <v>6936</v>
      </c>
      <c r="BS86">
        <v>7313</v>
      </c>
      <c r="BT86">
        <v>7587</v>
      </c>
      <c r="BU86">
        <v>7828</v>
      </c>
      <c r="BV86">
        <v>8046</v>
      </c>
      <c r="BW86">
        <v>8244</v>
      </c>
      <c r="BX86">
        <v>8398</v>
      </c>
      <c r="BY86">
        <v>8509</v>
      </c>
      <c r="BZ86">
        <v>8599</v>
      </c>
      <c r="CA86">
        <v>8656</v>
      </c>
      <c r="CB86">
        <v>8697</v>
      </c>
      <c r="CC86">
        <v>8722</v>
      </c>
      <c r="CD86">
        <v>8732</v>
      </c>
      <c r="CE86">
        <v>8740</v>
      </c>
      <c r="CF86">
        <v>8747</v>
      </c>
      <c r="CG86">
        <v>8754</v>
      </c>
      <c r="CH86">
        <v>8760</v>
      </c>
      <c r="CI86">
        <v>8760</v>
      </c>
      <c r="CJ86">
        <v>8760</v>
      </c>
      <c r="CK86">
        <v>8760</v>
      </c>
      <c r="CL86">
        <v>8760</v>
      </c>
      <c r="CM86">
        <v>8760</v>
      </c>
      <c r="CN86">
        <v>8760</v>
      </c>
      <c r="CO86">
        <v>8760</v>
      </c>
      <c r="CP86">
        <v>8760</v>
      </c>
      <c r="CQ86">
        <v>8760</v>
      </c>
      <c r="CR86">
        <v>8760</v>
      </c>
      <c r="CS86">
        <v>8760</v>
      </c>
      <c r="CT86">
        <v>8760</v>
      </c>
      <c r="CU86">
        <v>8760</v>
      </c>
      <c r="CV86">
        <v>8760</v>
      </c>
      <c r="CW86">
        <v>8760</v>
      </c>
      <c r="CX86">
        <v>8760</v>
      </c>
      <c r="CY86">
        <v>8760</v>
      </c>
      <c r="CZ86">
        <v>8760</v>
      </c>
      <c r="DA86">
        <v>8760</v>
      </c>
      <c r="DB86">
        <v>8760</v>
      </c>
    </row>
    <row r="87" spans="1:106" x14ac:dyDescent="0.25">
      <c r="A87" s="13" t="s">
        <v>105</v>
      </c>
      <c r="B87" t="s">
        <v>106</v>
      </c>
      <c r="C87" t="s">
        <v>438</v>
      </c>
      <c r="D87" t="s">
        <v>570</v>
      </c>
      <c r="E87" t="s">
        <v>571</v>
      </c>
      <c r="F87">
        <v>102634</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4</v>
      </c>
      <c r="AK87">
        <v>9</v>
      </c>
      <c r="AL87">
        <v>24</v>
      </c>
      <c r="AM87">
        <v>38</v>
      </c>
      <c r="AN87">
        <v>50</v>
      </c>
      <c r="AO87">
        <v>72</v>
      </c>
      <c r="AP87">
        <v>103</v>
      </c>
      <c r="AQ87">
        <v>129</v>
      </c>
      <c r="AR87">
        <v>156</v>
      </c>
      <c r="AS87">
        <v>188</v>
      </c>
      <c r="AT87">
        <v>231</v>
      </c>
      <c r="AU87">
        <v>274</v>
      </c>
      <c r="AV87">
        <v>336</v>
      </c>
      <c r="AW87">
        <v>422</v>
      </c>
      <c r="AX87">
        <v>536</v>
      </c>
      <c r="AY87">
        <v>668</v>
      </c>
      <c r="AZ87">
        <v>849</v>
      </c>
      <c r="BA87">
        <v>1079</v>
      </c>
      <c r="BB87">
        <v>1386</v>
      </c>
      <c r="BC87">
        <v>1767</v>
      </c>
      <c r="BD87">
        <v>2173</v>
      </c>
      <c r="BE87">
        <v>2641</v>
      </c>
      <c r="BF87">
        <v>3051</v>
      </c>
      <c r="BG87">
        <v>3404</v>
      </c>
      <c r="BH87">
        <v>3799</v>
      </c>
      <c r="BI87">
        <v>4147</v>
      </c>
      <c r="BJ87">
        <v>4466</v>
      </c>
      <c r="BK87">
        <v>4729</v>
      </c>
      <c r="BL87">
        <v>4978</v>
      </c>
      <c r="BM87">
        <v>5212</v>
      </c>
      <c r="BN87">
        <v>5549</v>
      </c>
      <c r="BO87">
        <v>5842</v>
      </c>
      <c r="BP87">
        <v>6182</v>
      </c>
      <c r="BQ87">
        <v>6578</v>
      </c>
      <c r="BR87">
        <v>6965</v>
      </c>
      <c r="BS87">
        <v>7280</v>
      </c>
      <c r="BT87">
        <v>7542</v>
      </c>
      <c r="BU87">
        <v>7821</v>
      </c>
      <c r="BV87">
        <v>8090</v>
      </c>
      <c r="BW87">
        <v>8271</v>
      </c>
      <c r="BX87">
        <v>8420</v>
      </c>
      <c r="BY87">
        <v>8532</v>
      </c>
      <c r="BZ87">
        <v>8632</v>
      </c>
      <c r="CA87">
        <v>8690</v>
      </c>
      <c r="CB87">
        <v>8714</v>
      </c>
      <c r="CC87">
        <v>8733</v>
      </c>
      <c r="CD87">
        <v>8740</v>
      </c>
      <c r="CE87">
        <v>8743</v>
      </c>
      <c r="CF87">
        <v>8749</v>
      </c>
      <c r="CG87">
        <v>8753</v>
      </c>
      <c r="CH87">
        <v>8760</v>
      </c>
      <c r="CI87">
        <v>8760</v>
      </c>
      <c r="CJ87">
        <v>8760</v>
      </c>
      <c r="CK87">
        <v>8760</v>
      </c>
      <c r="CL87">
        <v>8760</v>
      </c>
      <c r="CM87">
        <v>8760</v>
      </c>
      <c r="CN87">
        <v>8760</v>
      </c>
      <c r="CO87">
        <v>8760</v>
      </c>
      <c r="CP87">
        <v>8760</v>
      </c>
      <c r="CQ87">
        <v>8760</v>
      </c>
      <c r="CR87">
        <v>8760</v>
      </c>
      <c r="CS87">
        <v>8760</v>
      </c>
      <c r="CT87">
        <v>8760</v>
      </c>
      <c r="CU87">
        <v>8760</v>
      </c>
      <c r="CV87">
        <v>8760</v>
      </c>
      <c r="CW87">
        <v>8760</v>
      </c>
      <c r="CX87">
        <v>8760</v>
      </c>
      <c r="CY87">
        <v>8760</v>
      </c>
      <c r="CZ87">
        <v>8760</v>
      </c>
      <c r="DA87">
        <v>8760</v>
      </c>
      <c r="DB87">
        <v>8760</v>
      </c>
    </row>
    <row r="88" spans="1:106" x14ac:dyDescent="0.25">
      <c r="A88" s="13" t="s">
        <v>106</v>
      </c>
      <c r="B88" t="s">
        <v>107</v>
      </c>
      <c r="C88" t="s">
        <v>438</v>
      </c>
      <c r="D88" t="s">
        <v>572</v>
      </c>
      <c r="E88" t="s">
        <v>573</v>
      </c>
      <c r="F88">
        <v>102302</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7</v>
      </c>
      <c r="AT88">
        <v>12</v>
      </c>
      <c r="AU88">
        <v>26</v>
      </c>
      <c r="AV88">
        <v>48</v>
      </c>
      <c r="AW88">
        <v>66</v>
      </c>
      <c r="AX88">
        <v>89</v>
      </c>
      <c r="AY88">
        <v>139</v>
      </c>
      <c r="AZ88">
        <v>222</v>
      </c>
      <c r="BA88">
        <v>371</v>
      </c>
      <c r="BB88">
        <v>570</v>
      </c>
      <c r="BC88">
        <v>873</v>
      </c>
      <c r="BD88">
        <v>1182</v>
      </c>
      <c r="BE88">
        <v>1579</v>
      </c>
      <c r="BF88">
        <v>2042</v>
      </c>
      <c r="BG88">
        <v>2516</v>
      </c>
      <c r="BH88">
        <v>3017</v>
      </c>
      <c r="BI88">
        <v>3479</v>
      </c>
      <c r="BJ88">
        <v>3870</v>
      </c>
      <c r="BK88">
        <v>4232</v>
      </c>
      <c r="BL88">
        <v>4664</v>
      </c>
      <c r="BM88">
        <v>4946</v>
      </c>
      <c r="BN88">
        <v>5252</v>
      </c>
      <c r="BO88">
        <v>5555</v>
      </c>
      <c r="BP88">
        <v>5928</v>
      </c>
      <c r="BQ88">
        <v>6313</v>
      </c>
      <c r="BR88">
        <v>6726</v>
      </c>
      <c r="BS88">
        <v>7143</v>
      </c>
      <c r="BT88">
        <v>7554</v>
      </c>
      <c r="BU88">
        <v>7855</v>
      </c>
      <c r="BV88">
        <v>8092</v>
      </c>
      <c r="BW88">
        <v>8283</v>
      </c>
      <c r="BX88">
        <v>8414</v>
      </c>
      <c r="BY88">
        <v>8492</v>
      </c>
      <c r="BZ88">
        <v>8534</v>
      </c>
      <c r="CA88">
        <v>8576</v>
      </c>
      <c r="CB88">
        <v>8618</v>
      </c>
      <c r="CC88">
        <v>8659</v>
      </c>
      <c r="CD88">
        <v>8698</v>
      </c>
      <c r="CE88">
        <v>8717</v>
      </c>
      <c r="CF88">
        <v>8735</v>
      </c>
      <c r="CG88">
        <v>8744</v>
      </c>
      <c r="CH88">
        <v>8756</v>
      </c>
      <c r="CI88">
        <v>8759</v>
      </c>
      <c r="CJ88">
        <v>8760</v>
      </c>
      <c r="CK88">
        <v>8760</v>
      </c>
      <c r="CL88">
        <v>8760</v>
      </c>
      <c r="CM88">
        <v>8760</v>
      </c>
      <c r="CN88">
        <v>8760</v>
      </c>
      <c r="CO88">
        <v>8760</v>
      </c>
      <c r="CP88">
        <v>8760</v>
      </c>
      <c r="CQ88">
        <v>8760</v>
      </c>
      <c r="CR88">
        <v>8760</v>
      </c>
      <c r="CS88">
        <v>8760</v>
      </c>
      <c r="CT88">
        <v>8760</v>
      </c>
      <c r="CU88">
        <v>8760</v>
      </c>
      <c r="CV88">
        <v>8760</v>
      </c>
      <c r="CW88">
        <v>8760</v>
      </c>
      <c r="CX88">
        <v>8760</v>
      </c>
      <c r="CY88">
        <v>8760</v>
      </c>
      <c r="CZ88">
        <v>8760</v>
      </c>
      <c r="DA88">
        <v>8760</v>
      </c>
      <c r="DB88">
        <v>8760</v>
      </c>
    </row>
    <row r="89" spans="1:106" x14ac:dyDescent="0.25">
      <c r="A89" s="13" t="s">
        <v>107</v>
      </c>
      <c r="B89" t="s">
        <v>109</v>
      </c>
      <c r="C89" t="s">
        <v>438</v>
      </c>
      <c r="D89" t="s">
        <v>574</v>
      </c>
      <c r="E89" t="s">
        <v>575</v>
      </c>
      <c r="F89">
        <v>102811</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2</v>
      </c>
      <c r="AF89">
        <v>5</v>
      </c>
      <c r="AG89">
        <v>6</v>
      </c>
      <c r="AH89">
        <v>16</v>
      </c>
      <c r="AI89">
        <v>21</v>
      </c>
      <c r="AJ89">
        <v>33</v>
      </c>
      <c r="AK89">
        <v>49</v>
      </c>
      <c r="AL89">
        <v>69</v>
      </c>
      <c r="AM89">
        <v>103</v>
      </c>
      <c r="AN89">
        <v>166</v>
      </c>
      <c r="AO89">
        <v>233</v>
      </c>
      <c r="AP89">
        <v>298</v>
      </c>
      <c r="AQ89">
        <v>391</v>
      </c>
      <c r="AR89">
        <v>476</v>
      </c>
      <c r="AS89">
        <v>581</v>
      </c>
      <c r="AT89">
        <v>697</v>
      </c>
      <c r="AU89">
        <v>813</v>
      </c>
      <c r="AV89">
        <v>949</v>
      </c>
      <c r="AW89">
        <v>1099</v>
      </c>
      <c r="AX89">
        <v>1284</v>
      </c>
      <c r="AY89">
        <v>1534</v>
      </c>
      <c r="AZ89">
        <v>1749</v>
      </c>
      <c r="BA89">
        <v>2031</v>
      </c>
      <c r="BB89">
        <v>2340</v>
      </c>
      <c r="BC89">
        <v>2721</v>
      </c>
      <c r="BD89">
        <v>3129</v>
      </c>
      <c r="BE89">
        <v>3605</v>
      </c>
      <c r="BF89">
        <v>4068</v>
      </c>
      <c r="BG89">
        <v>4420</v>
      </c>
      <c r="BH89">
        <v>4781</v>
      </c>
      <c r="BI89">
        <v>5092</v>
      </c>
      <c r="BJ89">
        <v>5396</v>
      </c>
      <c r="BK89">
        <v>5712</v>
      </c>
      <c r="BL89">
        <v>6106</v>
      </c>
      <c r="BM89">
        <v>6424</v>
      </c>
      <c r="BN89">
        <v>6762</v>
      </c>
      <c r="BO89">
        <v>7083</v>
      </c>
      <c r="BP89">
        <v>7339</v>
      </c>
      <c r="BQ89">
        <v>7600</v>
      </c>
      <c r="BR89">
        <v>7853</v>
      </c>
      <c r="BS89">
        <v>8070</v>
      </c>
      <c r="BT89">
        <v>8243</v>
      </c>
      <c r="BU89">
        <v>8357</v>
      </c>
      <c r="BV89">
        <v>8451</v>
      </c>
      <c r="BW89">
        <v>8521</v>
      </c>
      <c r="BX89">
        <v>8593</v>
      </c>
      <c r="BY89">
        <v>8645</v>
      </c>
      <c r="BZ89">
        <v>8674</v>
      </c>
      <c r="CA89">
        <v>8710</v>
      </c>
      <c r="CB89">
        <v>8728</v>
      </c>
      <c r="CC89">
        <v>8745</v>
      </c>
      <c r="CD89">
        <v>8757</v>
      </c>
      <c r="CE89">
        <v>8760</v>
      </c>
      <c r="CF89">
        <v>8760</v>
      </c>
      <c r="CG89">
        <v>8760</v>
      </c>
      <c r="CH89">
        <v>8760</v>
      </c>
      <c r="CI89">
        <v>8760</v>
      </c>
      <c r="CJ89">
        <v>8760</v>
      </c>
      <c r="CK89">
        <v>8760</v>
      </c>
      <c r="CL89">
        <v>8760</v>
      </c>
      <c r="CM89">
        <v>8760</v>
      </c>
      <c r="CN89">
        <v>8760</v>
      </c>
      <c r="CO89">
        <v>8760</v>
      </c>
      <c r="CP89">
        <v>8760</v>
      </c>
      <c r="CQ89">
        <v>8760</v>
      </c>
      <c r="CR89">
        <v>8760</v>
      </c>
      <c r="CS89">
        <v>8760</v>
      </c>
      <c r="CT89">
        <v>8760</v>
      </c>
      <c r="CU89">
        <v>8760</v>
      </c>
      <c r="CV89">
        <v>8760</v>
      </c>
      <c r="CW89">
        <v>8760</v>
      </c>
      <c r="CX89">
        <v>8760</v>
      </c>
      <c r="CY89">
        <v>8760</v>
      </c>
      <c r="CZ89">
        <v>8760</v>
      </c>
      <c r="DA89">
        <v>8760</v>
      </c>
      <c r="DB89">
        <v>8760</v>
      </c>
    </row>
    <row r="90" spans="1:106" x14ac:dyDescent="0.25">
      <c r="A90" s="13" t="s">
        <v>108</v>
      </c>
      <c r="B90" t="s">
        <v>108</v>
      </c>
      <c r="C90" t="s">
        <v>438</v>
      </c>
      <c r="D90" t="s">
        <v>576</v>
      </c>
      <c r="E90" t="s">
        <v>577</v>
      </c>
      <c r="F90">
        <v>102525</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1</v>
      </c>
      <c r="AL90">
        <v>4</v>
      </c>
      <c r="AM90">
        <v>10</v>
      </c>
      <c r="AN90">
        <v>31</v>
      </c>
      <c r="AO90">
        <v>76</v>
      </c>
      <c r="AP90">
        <v>115</v>
      </c>
      <c r="AQ90">
        <v>160</v>
      </c>
      <c r="AR90">
        <v>214</v>
      </c>
      <c r="AS90">
        <v>256</v>
      </c>
      <c r="AT90">
        <v>301</v>
      </c>
      <c r="AU90">
        <v>380</v>
      </c>
      <c r="AV90">
        <v>475</v>
      </c>
      <c r="AW90">
        <v>565</v>
      </c>
      <c r="AX90">
        <v>645</v>
      </c>
      <c r="AY90">
        <v>776</v>
      </c>
      <c r="AZ90">
        <v>902</v>
      </c>
      <c r="BA90">
        <v>1037</v>
      </c>
      <c r="BB90">
        <v>1319</v>
      </c>
      <c r="BC90">
        <v>1635</v>
      </c>
      <c r="BD90">
        <v>1955</v>
      </c>
      <c r="BE90">
        <v>2352</v>
      </c>
      <c r="BF90">
        <v>2727</v>
      </c>
      <c r="BG90">
        <v>3101</v>
      </c>
      <c r="BH90">
        <v>3426</v>
      </c>
      <c r="BI90">
        <v>3729</v>
      </c>
      <c r="BJ90">
        <v>4063</v>
      </c>
      <c r="BK90">
        <v>4458</v>
      </c>
      <c r="BL90">
        <v>4839</v>
      </c>
      <c r="BM90">
        <v>5211</v>
      </c>
      <c r="BN90">
        <v>5602</v>
      </c>
      <c r="BO90">
        <v>5912</v>
      </c>
      <c r="BP90">
        <v>6242</v>
      </c>
      <c r="BQ90">
        <v>6649</v>
      </c>
      <c r="BR90">
        <v>7016</v>
      </c>
      <c r="BS90">
        <v>7373</v>
      </c>
      <c r="BT90">
        <v>7697</v>
      </c>
      <c r="BU90">
        <v>7974</v>
      </c>
      <c r="BV90">
        <v>8187</v>
      </c>
      <c r="BW90">
        <v>8363</v>
      </c>
      <c r="BX90">
        <v>8473</v>
      </c>
      <c r="BY90">
        <v>8558</v>
      </c>
      <c r="BZ90">
        <v>8615</v>
      </c>
      <c r="CA90">
        <v>8653</v>
      </c>
      <c r="CB90">
        <v>8709</v>
      </c>
      <c r="CC90">
        <v>8746</v>
      </c>
      <c r="CD90">
        <v>8760</v>
      </c>
      <c r="CE90">
        <v>8760</v>
      </c>
      <c r="CF90">
        <v>8760</v>
      </c>
      <c r="CG90">
        <v>8760</v>
      </c>
      <c r="CH90">
        <v>8760</v>
      </c>
      <c r="CI90">
        <v>8760</v>
      </c>
      <c r="CJ90">
        <v>8760</v>
      </c>
      <c r="CK90">
        <v>8760</v>
      </c>
      <c r="CL90">
        <v>8760</v>
      </c>
      <c r="CM90">
        <v>8760</v>
      </c>
      <c r="CN90">
        <v>8760</v>
      </c>
      <c r="CO90">
        <v>8760</v>
      </c>
      <c r="CP90">
        <v>8760</v>
      </c>
      <c r="CQ90">
        <v>8760</v>
      </c>
      <c r="CR90">
        <v>8760</v>
      </c>
      <c r="CS90">
        <v>8760</v>
      </c>
      <c r="CT90">
        <v>8760</v>
      </c>
      <c r="CU90">
        <v>8760</v>
      </c>
      <c r="CV90">
        <v>8760</v>
      </c>
      <c r="CW90">
        <v>8760</v>
      </c>
      <c r="CX90">
        <v>8760</v>
      </c>
      <c r="CY90">
        <v>8760</v>
      </c>
      <c r="CZ90">
        <v>8760</v>
      </c>
      <c r="DA90">
        <v>8760</v>
      </c>
      <c r="DB90">
        <v>8760</v>
      </c>
    </row>
    <row r="91" spans="1:106" x14ac:dyDescent="0.25">
      <c r="A91" s="13" t="s">
        <v>109</v>
      </c>
      <c r="B91" t="s">
        <v>373</v>
      </c>
    </row>
    <row r="92" spans="1:106" x14ac:dyDescent="0.25">
      <c r="A92" s="13" t="s">
        <v>110</v>
      </c>
      <c r="B92" t="s">
        <v>110</v>
      </c>
      <c r="C92" t="s">
        <v>438</v>
      </c>
      <c r="D92" t="s">
        <v>578</v>
      </c>
      <c r="E92" t="s">
        <v>579</v>
      </c>
      <c r="F92">
        <v>102610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4</v>
      </c>
      <c r="AO92">
        <v>12</v>
      </c>
      <c r="AP92">
        <v>16</v>
      </c>
      <c r="AQ92">
        <v>20</v>
      </c>
      <c r="AR92">
        <v>37</v>
      </c>
      <c r="AS92">
        <v>55</v>
      </c>
      <c r="AT92">
        <v>88</v>
      </c>
      <c r="AU92">
        <v>118</v>
      </c>
      <c r="AV92">
        <v>152</v>
      </c>
      <c r="AW92">
        <v>205</v>
      </c>
      <c r="AX92">
        <v>271</v>
      </c>
      <c r="AY92">
        <v>382</v>
      </c>
      <c r="AZ92">
        <v>523</v>
      </c>
      <c r="BA92">
        <v>717</v>
      </c>
      <c r="BB92">
        <v>969</v>
      </c>
      <c r="BC92">
        <v>1290</v>
      </c>
      <c r="BD92">
        <v>1740</v>
      </c>
      <c r="BE92">
        <v>2270</v>
      </c>
      <c r="BF92">
        <v>2757</v>
      </c>
      <c r="BG92">
        <v>3201</v>
      </c>
      <c r="BH92">
        <v>3606</v>
      </c>
      <c r="BI92">
        <v>3986</v>
      </c>
      <c r="BJ92">
        <v>4272</v>
      </c>
      <c r="BK92">
        <v>4578</v>
      </c>
      <c r="BL92">
        <v>4823</v>
      </c>
      <c r="BM92">
        <v>5149</v>
      </c>
      <c r="BN92">
        <v>5516</v>
      </c>
      <c r="BO92">
        <v>5859</v>
      </c>
      <c r="BP92">
        <v>6198</v>
      </c>
      <c r="BQ92">
        <v>6608</v>
      </c>
      <c r="BR92">
        <v>7042</v>
      </c>
      <c r="BS92">
        <v>7361</v>
      </c>
      <c r="BT92">
        <v>7640</v>
      </c>
      <c r="BU92">
        <v>7881</v>
      </c>
      <c r="BV92">
        <v>8122</v>
      </c>
      <c r="BW92">
        <v>8321</v>
      </c>
      <c r="BX92">
        <v>8468</v>
      </c>
      <c r="BY92">
        <v>8585</v>
      </c>
      <c r="BZ92">
        <v>8674</v>
      </c>
      <c r="CA92">
        <v>8721</v>
      </c>
      <c r="CB92">
        <v>8744</v>
      </c>
      <c r="CC92">
        <v>8751</v>
      </c>
      <c r="CD92">
        <v>8753</v>
      </c>
      <c r="CE92">
        <v>8757</v>
      </c>
      <c r="CF92">
        <v>8760</v>
      </c>
      <c r="CG92">
        <v>8760</v>
      </c>
      <c r="CH92">
        <v>8760</v>
      </c>
      <c r="CI92">
        <v>8760</v>
      </c>
      <c r="CJ92">
        <v>8760</v>
      </c>
      <c r="CK92">
        <v>8760</v>
      </c>
      <c r="CL92">
        <v>8760</v>
      </c>
      <c r="CM92">
        <v>8760</v>
      </c>
      <c r="CN92">
        <v>8760</v>
      </c>
      <c r="CO92">
        <v>8760</v>
      </c>
      <c r="CP92">
        <v>8760</v>
      </c>
      <c r="CQ92">
        <v>8760</v>
      </c>
      <c r="CR92">
        <v>8760</v>
      </c>
      <c r="CS92">
        <v>8760</v>
      </c>
      <c r="CT92">
        <v>8760</v>
      </c>
      <c r="CU92">
        <v>8760</v>
      </c>
      <c r="CV92">
        <v>8760</v>
      </c>
      <c r="CW92">
        <v>8760</v>
      </c>
      <c r="CX92">
        <v>8760</v>
      </c>
      <c r="CY92">
        <v>8760</v>
      </c>
      <c r="CZ92">
        <v>8760</v>
      </c>
      <c r="DA92">
        <v>8760</v>
      </c>
      <c r="DB92">
        <v>8760</v>
      </c>
    </row>
    <row r="93" spans="1:106" x14ac:dyDescent="0.25">
      <c r="A93" s="13" t="s">
        <v>111</v>
      </c>
      <c r="B93" t="s">
        <v>111</v>
      </c>
      <c r="C93" t="s">
        <v>438</v>
      </c>
      <c r="D93" t="s">
        <v>580</v>
      </c>
      <c r="E93" t="s">
        <v>581</v>
      </c>
      <c r="F93">
        <v>102010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4</v>
      </c>
      <c r="AD93">
        <v>9</v>
      </c>
      <c r="AE93">
        <v>20</v>
      </c>
      <c r="AF93">
        <v>30</v>
      </c>
      <c r="AG93">
        <v>41</v>
      </c>
      <c r="AH93">
        <v>69</v>
      </c>
      <c r="AI93">
        <v>95</v>
      </c>
      <c r="AJ93">
        <v>128</v>
      </c>
      <c r="AK93">
        <v>174</v>
      </c>
      <c r="AL93">
        <v>221</v>
      </c>
      <c r="AM93">
        <v>268</v>
      </c>
      <c r="AN93">
        <v>328</v>
      </c>
      <c r="AO93">
        <v>401</v>
      </c>
      <c r="AP93">
        <v>492</v>
      </c>
      <c r="AQ93">
        <v>601</v>
      </c>
      <c r="AR93">
        <v>742</v>
      </c>
      <c r="AS93">
        <v>877</v>
      </c>
      <c r="AT93">
        <v>1007</v>
      </c>
      <c r="AU93">
        <v>1145</v>
      </c>
      <c r="AV93">
        <v>1305</v>
      </c>
      <c r="AW93">
        <v>1475</v>
      </c>
      <c r="AX93">
        <v>1659</v>
      </c>
      <c r="AY93">
        <v>1851</v>
      </c>
      <c r="AZ93">
        <v>2080</v>
      </c>
      <c r="BA93">
        <v>2337</v>
      </c>
      <c r="BB93">
        <v>2654</v>
      </c>
      <c r="BC93">
        <v>2966</v>
      </c>
      <c r="BD93">
        <v>3341</v>
      </c>
      <c r="BE93">
        <v>3795</v>
      </c>
      <c r="BF93">
        <v>4227</v>
      </c>
      <c r="BG93">
        <v>4534</v>
      </c>
      <c r="BH93">
        <v>4833</v>
      </c>
      <c r="BI93">
        <v>5076</v>
      </c>
      <c r="BJ93">
        <v>5273</v>
      </c>
      <c r="BK93">
        <v>5497</v>
      </c>
      <c r="BL93">
        <v>5784</v>
      </c>
      <c r="BM93">
        <v>6064</v>
      </c>
      <c r="BN93">
        <v>6345</v>
      </c>
      <c r="BO93">
        <v>6636</v>
      </c>
      <c r="BP93">
        <v>6935</v>
      </c>
      <c r="BQ93">
        <v>7241</v>
      </c>
      <c r="BR93">
        <v>7525</v>
      </c>
      <c r="BS93">
        <v>7792</v>
      </c>
      <c r="BT93">
        <v>8061</v>
      </c>
      <c r="BU93">
        <v>8298</v>
      </c>
      <c r="BV93">
        <v>8469</v>
      </c>
      <c r="BW93">
        <v>8562</v>
      </c>
      <c r="BX93">
        <v>8619</v>
      </c>
      <c r="BY93">
        <v>8664</v>
      </c>
      <c r="BZ93">
        <v>8690</v>
      </c>
      <c r="CA93">
        <v>8707</v>
      </c>
      <c r="CB93">
        <v>8724</v>
      </c>
      <c r="CC93">
        <v>8748</v>
      </c>
      <c r="CD93">
        <v>8759</v>
      </c>
      <c r="CE93">
        <v>8760</v>
      </c>
      <c r="CF93">
        <v>8760</v>
      </c>
      <c r="CG93">
        <v>8760</v>
      </c>
      <c r="CH93">
        <v>8760</v>
      </c>
      <c r="CI93">
        <v>8760</v>
      </c>
      <c r="CJ93">
        <v>8760</v>
      </c>
      <c r="CK93">
        <v>8760</v>
      </c>
      <c r="CL93">
        <v>8760</v>
      </c>
      <c r="CM93">
        <v>8760</v>
      </c>
      <c r="CN93">
        <v>8760</v>
      </c>
      <c r="CO93">
        <v>8760</v>
      </c>
      <c r="CP93">
        <v>8760</v>
      </c>
      <c r="CQ93">
        <v>8760</v>
      </c>
      <c r="CR93">
        <v>8760</v>
      </c>
      <c r="CS93">
        <v>8760</v>
      </c>
      <c r="CT93">
        <v>8760</v>
      </c>
      <c r="CU93">
        <v>8760</v>
      </c>
      <c r="CV93">
        <v>8760</v>
      </c>
      <c r="CW93">
        <v>8760</v>
      </c>
      <c r="CX93">
        <v>8760</v>
      </c>
      <c r="CY93">
        <v>8760</v>
      </c>
      <c r="CZ93">
        <v>8760</v>
      </c>
      <c r="DA93">
        <v>8760</v>
      </c>
      <c r="DB93">
        <v>8760</v>
      </c>
    </row>
    <row r="94" spans="1:106" x14ac:dyDescent="0.25">
      <c r="A94" s="13" t="s">
        <v>112</v>
      </c>
      <c r="B94" t="s">
        <v>374</v>
      </c>
    </row>
    <row r="95" spans="1:106" x14ac:dyDescent="0.25">
      <c r="A95" s="13" t="s">
        <v>113</v>
      </c>
      <c r="B95" t="s">
        <v>116</v>
      </c>
      <c r="C95" t="s">
        <v>438</v>
      </c>
      <c r="D95" t="s">
        <v>582</v>
      </c>
      <c r="E95" t="s">
        <v>583</v>
      </c>
      <c r="F95">
        <v>102801</v>
      </c>
      <c r="G95">
        <v>0</v>
      </c>
      <c r="H95">
        <v>0</v>
      </c>
      <c r="I95">
        <v>0</v>
      </c>
      <c r="J95">
        <v>0</v>
      </c>
      <c r="K95">
        <v>0</v>
      </c>
      <c r="L95">
        <v>0</v>
      </c>
      <c r="M95">
        <v>0</v>
      </c>
      <c r="N95">
        <v>0</v>
      </c>
      <c r="O95">
        <v>0</v>
      </c>
      <c r="P95">
        <v>0</v>
      </c>
      <c r="Q95">
        <v>0</v>
      </c>
      <c r="R95">
        <v>0</v>
      </c>
      <c r="S95">
        <v>0</v>
      </c>
      <c r="T95">
        <v>0</v>
      </c>
      <c r="U95">
        <v>0</v>
      </c>
      <c r="V95">
        <v>0</v>
      </c>
      <c r="W95">
        <v>0</v>
      </c>
      <c r="X95">
        <v>2</v>
      </c>
      <c r="Y95">
        <v>4</v>
      </c>
      <c r="Z95">
        <v>5</v>
      </c>
      <c r="AA95">
        <v>7</v>
      </c>
      <c r="AB95">
        <v>9</v>
      </c>
      <c r="AC95">
        <v>12</v>
      </c>
      <c r="AD95">
        <v>14</v>
      </c>
      <c r="AE95">
        <v>16</v>
      </c>
      <c r="AF95">
        <v>18</v>
      </c>
      <c r="AG95">
        <v>22</v>
      </c>
      <c r="AH95">
        <v>37</v>
      </c>
      <c r="AI95">
        <v>48</v>
      </c>
      <c r="AJ95">
        <v>63</v>
      </c>
      <c r="AK95">
        <v>77</v>
      </c>
      <c r="AL95">
        <v>102</v>
      </c>
      <c r="AM95">
        <v>156</v>
      </c>
      <c r="AN95">
        <v>215</v>
      </c>
      <c r="AO95">
        <v>282</v>
      </c>
      <c r="AP95">
        <v>357</v>
      </c>
      <c r="AQ95">
        <v>463</v>
      </c>
      <c r="AR95">
        <v>575</v>
      </c>
      <c r="AS95">
        <v>718</v>
      </c>
      <c r="AT95">
        <v>872</v>
      </c>
      <c r="AU95">
        <v>1042</v>
      </c>
      <c r="AV95">
        <v>1215</v>
      </c>
      <c r="AW95">
        <v>1434</v>
      </c>
      <c r="AX95">
        <v>1649</v>
      </c>
      <c r="AY95">
        <v>1888</v>
      </c>
      <c r="AZ95">
        <v>2158</v>
      </c>
      <c r="BA95">
        <v>2501</v>
      </c>
      <c r="BB95">
        <v>2865</v>
      </c>
      <c r="BC95">
        <v>3236</v>
      </c>
      <c r="BD95">
        <v>3601</v>
      </c>
      <c r="BE95">
        <v>4098</v>
      </c>
      <c r="BF95">
        <v>4447</v>
      </c>
      <c r="BG95">
        <v>4823</v>
      </c>
      <c r="BH95">
        <v>5219</v>
      </c>
      <c r="BI95">
        <v>5544</v>
      </c>
      <c r="BJ95">
        <v>5845</v>
      </c>
      <c r="BK95">
        <v>6164</v>
      </c>
      <c r="BL95">
        <v>6483</v>
      </c>
      <c r="BM95">
        <v>6767</v>
      </c>
      <c r="BN95">
        <v>7019</v>
      </c>
      <c r="BO95">
        <v>7280</v>
      </c>
      <c r="BP95">
        <v>7533</v>
      </c>
      <c r="BQ95">
        <v>7756</v>
      </c>
      <c r="BR95">
        <v>7959</v>
      </c>
      <c r="BS95">
        <v>8111</v>
      </c>
      <c r="BT95">
        <v>8245</v>
      </c>
      <c r="BU95">
        <v>8355</v>
      </c>
      <c r="BV95">
        <v>8431</v>
      </c>
      <c r="BW95">
        <v>8504</v>
      </c>
      <c r="BX95">
        <v>8567</v>
      </c>
      <c r="BY95">
        <v>8599</v>
      </c>
      <c r="BZ95">
        <v>8636</v>
      </c>
      <c r="CA95">
        <v>8676</v>
      </c>
      <c r="CB95">
        <v>8694</v>
      </c>
      <c r="CC95">
        <v>8728</v>
      </c>
      <c r="CD95">
        <v>8749</v>
      </c>
      <c r="CE95">
        <v>8760</v>
      </c>
      <c r="CF95">
        <v>8760</v>
      </c>
      <c r="CG95">
        <v>8760</v>
      </c>
      <c r="CH95">
        <v>8760</v>
      </c>
      <c r="CI95">
        <v>8760</v>
      </c>
      <c r="CJ95">
        <v>8760</v>
      </c>
      <c r="CK95">
        <v>8760</v>
      </c>
      <c r="CL95">
        <v>8760</v>
      </c>
      <c r="CM95">
        <v>8760</v>
      </c>
      <c r="CN95">
        <v>8760</v>
      </c>
      <c r="CO95">
        <v>8760</v>
      </c>
      <c r="CP95">
        <v>8760</v>
      </c>
      <c r="CQ95">
        <v>8760</v>
      </c>
      <c r="CR95">
        <v>8760</v>
      </c>
      <c r="CS95">
        <v>8760</v>
      </c>
      <c r="CT95">
        <v>8760</v>
      </c>
      <c r="CU95">
        <v>8760</v>
      </c>
      <c r="CV95">
        <v>8760</v>
      </c>
      <c r="CW95">
        <v>8760</v>
      </c>
      <c r="CX95">
        <v>8760</v>
      </c>
      <c r="CY95">
        <v>8760</v>
      </c>
      <c r="CZ95">
        <v>8760</v>
      </c>
      <c r="DA95">
        <v>8760</v>
      </c>
      <c r="DB95">
        <v>8760</v>
      </c>
    </row>
    <row r="96" spans="1:106" x14ac:dyDescent="0.25">
      <c r="A96" s="13" t="s">
        <v>114</v>
      </c>
      <c r="B96" t="s">
        <v>115</v>
      </c>
      <c r="C96" t="s">
        <v>438</v>
      </c>
      <c r="D96" t="s">
        <v>584</v>
      </c>
      <c r="E96" t="s">
        <v>585</v>
      </c>
      <c r="F96">
        <v>102722</v>
      </c>
      <c r="G96">
        <v>0</v>
      </c>
      <c r="H96">
        <v>0</v>
      </c>
      <c r="I96">
        <v>0</v>
      </c>
      <c r="J96">
        <v>0</v>
      </c>
      <c r="K96">
        <v>0</v>
      </c>
      <c r="L96">
        <v>0</v>
      </c>
      <c r="M96">
        <v>0</v>
      </c>
      <c r="N96">
        <v>0</v>
      </c>
      <c r="O96">
        <v>0</v>
      </c>
      <c r="P96">
        <v>0</v>
      </c>
      <c r="Q96">
        <v>0</v>
      </c>
      <c r="R96">
        <v>0</v>
      </c>
      <c r="S96">
        <v>0</v>
      </c>
      <c r="T96">
        <v>0</v>
      </c>
      <c r="U96">
        <v>0</v>
      </c>
      <c r="V96">
        <v>0</v>
      </c>
      <c r="W96">
        <v>0</v>
      </c>
      <c r="X96">
        <v>0</v>
      </c>
      <c r="Y96">
        <v>0</v>
      </c>
      <c r="Z96">
        <v>0</v>
      </c>
      <c r="AA96">
        <v>1</v>
      </c>
      <c r="AB96">
        <v>5</v>
      </c>
      <c r="AC96">
        <v>8</v>
      </c>
      <c r="AD96">
        <v>13</v>
      </c>
      <c r="AE96">
        <v>17</v>
      </c>
      <c r="AF96">
        <v>19</v>
      </c>
      <c r="AG96">
        <v>27</v>
      </c>
      <c r="AH96">
        <v>28</v>
      </c>
      <c r="AI96">
        <v>30</v>
      </c>
      <c r="AJ96">
        <v>43</v>
      </c>
      <c r="AK96">
        <v>57</v>
      </c>
      <c r="AL96">
        <v>65</v>
      </c>
      <c r="AM96">
        <v>75</v>
      </c>
      <c r="AN96">
        <v>91</v>
      </c>
      <c r="AO96">
        <v>109</v>
      </c>
      <c r="AP96">
        <v>140</v>
      </c>
      <c r="AQ96">
        <v>185</v>
      </c>
      <c r="AR96">
        <v>249</v>
      </c>
      <c r="AS96">
        <v>322</v>
      </c>
      <c r="AT96">
        <v>398</v>
      </c>
      <c r="AU96">
        <v>522</v>
      </c>
      <c r="AV96">
        <v>692</v>
      </c>
      <c r="AW96">
        <v>818</v>
      </c>
      <c r="AX96">
        <v>951</v>
      </c>
      <c r="AY96">
        <v>1126</v>
      </c>
      <c r="AZ96">
        <v>1337</v>
      </c>
      <c r="BA96">
        <v>1586</v>
      </c>
      <c r="BB96">
        <v>1944</v>
      </c>
      <c r="BC96">
        <v>2297</v>
      </c>
      <c r="BD96">
        <v>2670</v>
      </c>
      <c r="BE96">
        <v>3070</v>
      </c>
      <c r="BF96">
        <v>3429</v>
      </c>
      <c r="BG96">
        <v>3799</v>
      </c>
      <c r="BH96">
        <v>4121</v>
      </c>
      <c r="BI96">
        <v>4513</v>
      </c>
      <c r="BJ96">
        <v>4821</v>
      </c>
      <c r="BK96">
        <v>5134</v>
      </c>
      <c r="BL96">
        <v>5414</v>
      </c>
      <c r="BM96">
        <v>5665</v>
      </c>
      <c r="BN96">
        <v>6014</v>
      </c>
      <c r="BO96">
        <v>6367</v>
      </c>
      <c r="BP96">
        <v>6699</v>
      </c>
      <c r="BQ96">
        <v>6989</v>
      </c>
      <c r="BR96">
        <v>7301</v>
      </c>
      <c r="BS96">
        <v>7554</v>
      </c>
      <c r="BT96">
        <v>7800</v>
      </c>
      <c r="BU96">
        <v>7973</v>
      </c>
      <c r="BV96">
        <v>8145</v>
      </c>
      <c r="BW96">
        <v>8316</v>
      </c>
      <c r="BX96">
        <v>8436</v>
      </c>
      <c r="BY96">
        <v>8514</v>
      </c>
      <c r="BZ96">
        <v>8599</v>
      </c>
      <c r="CA96">
        <v>8665</v>
      </c>
      <c r="CB96">
        <v>8700</v>
      </c>
      <c r="CC96">
        <v>8723</v>
      </c>
      <c r="CD96">
        <v>8741</v>
      </c>
      <c r="CE96">
        <v>8753</v>
      </c>
      <c r="CF96">
        <v>8755</v>
      </c>
      <c r="CG96">
        <v>8759</v>
      </c>
      <c r="CH96">
        <v>8760</v>
      </c>
      <c r="CI96">
        <v>8760</v>
      </c>
      <c r="CJ96">
        <v>8760</v>
      </c>
      <c r="CK96">
        <v>8760</v>
      </c>
      <c r="CL96">
        <v>8760</v>
      </c>
      <c r="CM96">
        <v>8760</v>
      </c>
      <c r="CN96">
        <v>8760</v>
      </c>
      <c r="CO96">
        <v>8760</v>
      </c>
      <c r="CP96">
        <v>8760</v>
      </c>
      <c r="CQ96">
        <v>8760</v>
      </c>
      <c r="CR96">
        <v>8760</v>
      </c>
      <c r="CS96">
        <v>8760</v>
      </c>
      <c r="CT96">
        <v>8760</v>
      </c>
      <c r="CU96">
        <v>8760</v>
      </c>
      <c r="CV96">
        <v>8760</v>
      </c>
      <c r="CW96">
        <v>8760</v>
      </c>
      <c r="CX96">
        <v>8760</v>
      </c>
      <c r="CY96">
        <v>8760</v>
      </c>
      <c r="CZ96">
        <v>8760</v>
      </c>
      <c r="DA96">
        <v>8760</v>
      </c>
      <c r="DB96">
        <v>8760</v>
      </c>
    </row>
    <row r="97" spans="1:106" x14ac:dyDescent="0.25">
      <c r="A97" s="13" t="s">
        <v>115</v>
      </c>
      <c r="B97" t="s">
        <v>117</v>
      </c>
      <c r="C97" t="s">
        <v>438</v>
      </c>
      <c r="D97" t="s">
        <v>586</v>
      </c>
      <c r="E97" t="s">
        <v>587</v>
      </c>
      <c r="F97">
        <v>102109</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6</v>
      </c>
      <c r="AS97">
        <v>16</v>
      </c>
      <c r="AT97">
        <v>21</v>
      </c>
      <c r="AU97">
        <v>35</v>
      </c>
      <c r="AV97">
        <v>49</v>
      </c>
      <c r="AW97">
        <v>70</v>
      </c>
      <c r="AX97">
        <v>94</v>
      </c>
      <c r="AY97">
        <v>152</v>
      </c>
      <c r="AZ97">
        <v>217</v>
      </c>
      <c r="BA97">
        <v>345</v>
      </c>
      <c r="BB97">
        <v>513</v>
      </c>
      <c r="BC97">
        <v>736</v>
      </c>
      <c r="BD97">
        <v>1077</v>
      </c>
      <c r="BE97">
        <v>1421</v>
      </c>
      <c r="BF97">
        <v>1852</v>
      </c>
      <c r="BG97">
        <v>2274</v>
      </c>
      <c r="BH97">
        <v>2705</v>
      </c>
      <c r="BI97">
        <v>3179</v>
      </c>
      <c r="BJ97">
        <v>3646</v>
      </c>
      <c r="BK97">
        <v>4115</v>
      </c>
      <c r="BL97">
        <v>4432</v>
      </c>
      <c r="BM97">
        <v>4799</v>
      </c>
      <c r="BN97">
        <v>5191</v>
      </c>
      <c r="BO97">
        <v>5543</v>
      </c>
      <c r="BP97">
        <v>5900</v>
      </c>
      <c r="BQ97">
        <v>6260</v>
      </c>
      <c r="BR97">
        <v>6677</v>
      </c>
      <c r="BS97">
        <v>7080</v>
      </c>
      <c r="BT97">
        <v>7401</v>
      </c>
      <c r="BU97">
        <v>7685</v>
      </c>
      <c r="BV97">
        <v>7928</v>
      </c>
      <c r="BW97">
        <v>8148</v>
      </c>
      <c r="BX97">
        <v>8273</v>
      </c>
      <c r="BY97">
        <v>8390</v>
      </c>
      <c r="BZ97">
        <v>8476</v>
      </c>
      <c r="CA97">
        <v>8556</v>
      </c>
      <c r="CB97">
        <v>8624</v>
      </c>
      <c r="CC97">
        <v>8659</v>
      </c>
      <c r="CD97">
        <v>8705</v>
      </c>
      <c r="CE97">
        <v>8727</v>
      </c>
      <c r="CF97">
        <v>8745</v>
      </c>
      <c r="CG97">
        <v>8760</v>
      </c>
      <c r="CH97">
        <v>8760</v>
      </c>
      <c r="CI97">
        <v>8760</v>
      </c>
      <c r="CJ97">
        <v>8760</v>
      </c>
      <c r="CK97">
        <v>8760</v>
      </c>
      <c r="CL97">
        <v>8760</v>
      </c>
      <c r="CM97">
        <v>8760</v>
      </c>
      <c r="CN97">
        <v>8760</v>
      </c>
      <c r="CO97">
        <v>8760</v>
      </c>
      <c r="CP97">
        <v>8760</v>
      </c>
      <c r="CQ97">
        <v>8760</v>
      </c>
      <c r="CR97">
        <v>8760</v>
      </c>
      <c r="CS97">
        <v>8760</v>
      </c>
      <c r="CT97">
        <v>8760</v>
      </c>
      <c r="CU97">
        <v>8760</v>
      </c>
      <c r="CV97">
        <v>8760</v>
      </c>
      <c r="CW97">
        <v>8760</v>
      </c>
      <c r="CX97">
        <v>8760</v>
      </c>
      <c r="CY97">
        <v>8760</v>
      </c>
      <c r="CZ97">
        <v>8760</v>
      </c>
      <c r="DA97">
        <v>8760</v>
      </c>
      <c r="DB97">
        <v>8760</v>
      </c>
    </row>
    <row r="98" spans="1:106" x14ac:dyDescent="0.25">
      <c r="A98" s="13" t="s">
        <v>116</v>
      </c>
      <c r="B98" t="s">
        <v>118</v>
      </c>
      <c r="C98" t="s">
        <v>438</v>
      </c>
      <c r="D98" t="s">
        <v>588</v>
      </c>
      <c r="E98" t="s">
        <v>589</v>
      </c>
      <c r="F98">
        <v>102908</v>
      </c>
      <c r="G98">
        <v>0</v>
      </c>
      <c r="H98">
        <v>0</v>
      </c>
      <c r="I98">
        <v>0</v>
      </c>
      <c r="J98">
        <v>0</v>
      </c>
      <c r="K98">
        <v>0</v>
      </c>
      <c r="L98">
        <v>0</v>
      </c>
      <c r="M98">
        <v>0</v>
      </c>
      <c r="N98">
        <v>0</v>
      </c>
      <c r="O98">
        <v>0</v>
      </c>
      <c r="P98">
        <v>0</v>
      </c>
      <c r="Q98">
        <v>0</v>
      </c>
      <c r="R98">
        <v>0</v>
      </c>
      <c r="S98">
        <v>0</v>
      </c>
      <c r="T98">
        <v>0</v>
      </c>
      <c r="U98">
        <v>0</v>
      </c>
      <c r="V98">
        <v>1</v>
      </c>
      <c r="W98">
        <v>3</v>
      </c>
      <c r="X98">
        <v>7</v>
      </c>
      <c r="Y98">
        <v>19</v>
      </c>
      <c r="Z98">
        <v>41</v>
      </c>
      <c r="AA98">
        <v>64</v>
      </c>
      <c r="AB98">
        <v>82</v>
      </c>
      <c r="AC98">
        <v>106</v>
      </c>
      <c r="AD98">
        <v>130</v>
      </c>
      <c r="AE98">
        <v>154</v>
      </c>
      <c r="AF98">
        <v>175</v>
      </c>
      <c r="AG98">
        <v>213</v>
      </c>
      <c r="AH98">
        <v>236</v>
      </c>
      <c r="AI98">
        <v>296</v>
      </c>
      <c r="AJ98">
        <v>340</v>
      </c>
      <c r="AK98">
        <v>399</v>
      </c>
      <c r="AL98">
        <v>446</v>
      </c>
      <c r="AM98">
        <v>497</v>
      </c>
      <c r="AN98">
        <v>573</v>
      </c>
      <c r="AO98">
        <v>674</v>
      </c>
      <c r="AP98">
        <v>768</v>
      </c>
      <c r="AQ98">
        <v>912</v>
      </c>
      <c r="AR98">
        <v>1060</v>
      </c>
      <c r="AS98">
        <v>1245</v>
      </c>
      <c r="AT98">
        <v>1389</v>
      </c>
      <c r="AU98">
        <v>1542</v>
      </c>
      <c r="AV98">
        <v>1718</v>
      </c>
      <c r="AW98">
        <v>1948</v>
      </c>
      <c r="AX98">
        <v>2217</v>
      </c>
      <c r="AY98">
        <v>2606</v>
      </c>
      <c r="AZ98">
        <v>2953</v>
      </c>
      <c r="BA98">
        <v>3328</v>
      </c>
      <c r="BB98">
        <v>3640</v>
      </c>
      <c r="BC98">
        <v>3963</v>
      </c>
      <c r="BD98">
        <v>4347</v>
      </c>
      <c r="BE98">
        <v>4674</v>
      </c>
      <c r="BF98">
        <v>5032</v>
      </c>
      <c r="BG98">
        <v>5385</v>
      </c>
      <c r="BH98">
        <v>5699</v>
      </c>
      <c r="BI98">
        <v>6030</v>
      </c>
      <c r="BJ98">
        <v>6364</v>
      </c>
      <c r="BK98">
        <v>6735</v>
      </c>
      <c r="BL98">
        <v>7024</v>
      </c>
      <c r="BM98">
        <v>7304</v>
      </c>
      <c r="BN98">
        <v>7605</v>
      </c>
      <c r="BO98">
        <v>7824</v>
      </c>
      <c r="BP98">
        <v>8021</v>
      </c>
      <c r="BQ98">
        <v>8228</v>
      </c>
      <c r="BR98">
        <v>8379</v>
      </c>
      <c r="BS98">
        <v>8483</v>
      </c>
      <c r="BT98">
        <v>8575</v>
      </c>
      <c r="BU98">
        <v>8635</v>
      </c>
      <c r="BV98">
        <v>8672</v>
      </c>
      <c r="BW98">
        <v>8702</v>
      </c>
      <c r="BX98">
        <v>8715</v>
      </c>
      <c r="BY98">
        <v>8733</v>
      </c>
      <c r="BZ98">
        <v>8744</v>
      </c>
      <c r="CA98">
        <v>8748</v>
      </c>
      <c r="CB98">
        <v>8755</v>
      </c>
      <c r="CC98">
        <v>8759</v>
      </c>
      <c r="CD98">
        <v>8760</v>
      </c>
      <c r="CE98">
        <v>8760</v>
      </c>
      <c r="CF98">
        <v>8760</v>
      </c>
      <c r="CG98">
        <v>8760</v>
      </c>
      <c r="CH98">
        <v>8760</v>
      </c>
      <c r="CI98">
        <v>8760</v>
      </c>
      <c r="CJ98">
        <v>8760</v>
      </c>
      <c r="CK98">
        <v>8760</v>
      </c>
      <c r="CL98">
        <v>8760</v>
      </c>
      <c r="CM98">
        <v>8760</v>
      </c>
      <c r="CN98">
        <v>8760</v>
      </c>
      <c r="CO98">
        <v>8760</v>
      </c>
      <c r="CP98">
        <v>8760</v>
      </c>
      <c r="CQ98">
        <v>8760</v>
      </c>
      <c r="CR98">
        <v>8760</v>
      </c>
      <c r="CS98">
        <v>8760</v>
      </c>
      <c r="CT98">
        <v>8760</v>
      </c>
      <c r="CU98">
        <v>8760</v>
      </c>
      <c r="CV98">
        <v>8760</v>
      </c>
      <c r="CW98">
        <v>8760</v>
      </c>
      <c r="CX98">
        <v>8760</v>
      </c>
      <c r="CY98">
        <v>8760</v>
      </c>
      <c r="CZ98">
        <v>8760</v>
      </c>
      <c r="DA98">
        <v>8760</v>
      </c>
      <c r="DB98">
        <v>8760</v>
      </c>
    </row>
    <row r="99" spans="1:106" x14ac:dyDescent="0.25">
      <c r="A99" s="13" t="s">
        <v>117</v>
      </c>
      <c r="B99" t="s">
        <v>119</v>
      </c>
      <c r="C99" t="s">
        <v>438</v>
      </c>
      <c r="D99" t="s">
        <v>590</v>
      </c>
      <c r="E99" t="s">
        <v>591</v>
      </c>
      <c r="F99">
        <v>102331</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1</v>
      </c>
      <c r="AR99">
        <v>5</v>
      </c>
      <c r="AS99">
        <v>7</v>
      </c>
      <c r="AT99">
        <v>7</v>
      </c>
      <c r="AU99">
        <v>14</v>
      </c>
      <c r="AV99">
        <v>22</v>
      </c>
      <c r="AW99">
        <v>34</v>
      </c>
      <c r="AX99">
        <v>66</v>
      </c>
      <c r="AY99">
        <v>117</v>
      </c>
      <c r="AZ99">
        <v>173</v>
      </c>
      <c r="BA99">
        <v>256</v>
      </c>
      <c r="BB99">
        <v>432</v>
      </c>
      <c r="BC99">
        <v>683</v>
      </c>
      <c r="BD99">
        <v>1012</v>
      </c>
      <c r="BE99">
        <v>1490</v>
      </c>
      <c r="BF99">
        <v>2084</v>
      </c>
      <c r="BG99">
        <v>2648</v>
      </c>
      <c r="BH99">
        <v>3186</v>
      </c>
      <c r="BI99">
        <v>3734</v>
      </c>
      <c r="BJ99">
        <v>4176</v>
      </c>
      <c r="BK99">
        <v>4489</v>
      </c>
      <c r="BL99">
        <v>4846</v>
      </c>
      <c r="BM99">
        <v>5138</v>
      </c>
      <c r="BN99">
        <v>5420</v>
      </c>
      <c r="BO99">
        <v>5738</v>
      </c>
      <c r="BP99">
        <v>6094</v>
      </c>
      <c r="BQ99">
        <v>6470</v>
      </c>
      <c r="BR99">
        <v>6856</v>
      </c>
      <c r="BS99">
        <v>7228</v>
      </c>
      <c r="BT99">
        <v>7564</v>
      </c>
      <c r="BU99">
        <v>7840</v>
      </c>
      <c r="BV99">
        <v>8087</v>
      </c>
      <c r="BW99">
        <v>8306</v>
      </c>
      <c r="BX99">
        <v>8449</v>
      </c>
      <c r="BY99">
        <v>8550</v>
      </c>
      <c r="BZ99">
        <v>8623</v>
      </c>
      <c r="CA99">
        <v>8657</v>
      </c>
      <c r="CB99">
        <v>8681</v>
      </c>
      <c r="CC99">
        <v>8708</v>
      </c>
      <c r="CD99">
        <v>8737</v>
      </c>
      <c r="CE99">
        <v>8752</v>
      </c>
      <c r="CF99">
        <v>8760</v>
      </c>
      <c r="CG99">
        <v>8760</v>
      </c>
      <c r="CH99">
        <v>8760</v>
      </c>
      <c r="CI99">
        <v>8760</v>
      </c>
      <c r="CJ99">
        <v>8760</v>
      </c>
      <c r="CK99">
        <v>8760</v>
      </c>
      <c r="CL99">
        <v>8760</v>
      </c>
      <c r="CM99">
        <v>8760</v>
      </c>
      <c r="CN99">
        <v>8760</v>
      </c>
      <c r="CO99">
        <v>8760</v>
      </c>
      <c r="CP99">
        <v>8760</v>
      </c>
      <c r="CQ99">
        <v>8760</v>
      </c>
      <c r="CR99">
        <v>8760</v>
      </c>
      <c r="CS99">
        <v>8760</v>
      </c>
      <c r="CT99">
        <v>8760</v>
      </c>
      <c r="CU99">
        <v>8760</v>
      </c>
      <c r="CV99">
        <v>8760</v>
      </c>
      <c r="CW99">
        <v>8760</v>
      </c>
      <c r="CX99">
        <v>8760</v>
      </c>
      <c r="CY99">
        <v>8760</v>
      </c>
      <c r="CZ99">
        <v>8760</v>
      </c>
      <c r="DA99">
        <v>8760</v>
      </c>
      <c r="DB99">
        <v>8760</v>
      </c>
    </row>
    <row r="100" spans="1:106" x14ac:dyDescent="0.25">
      <c r="A100" s="13" t="s">
        <v>118</v>
      </c>
      <c r="B100" t="s">
        <v>120</v>
      </c>
      <c r="C100" t="s">
        <v>438</v>
      </c>
      <c r="D100" t="s">
        <v>592</v>
      </c>
      <c r="E100" t="s">
        <v>593</v>
      </c>
      <c r="F100">
        <v>102232</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9</v>
      </c>
      <c r="AJ100">
        <v>13</v>
      </c>
      <c r="AK100">
        <v>20</v>
      </c>
      <c r="AL100">
        <v>32</v>
      </c>
      <c r="AM100">
        <v>45</v>
      </c>
      <c r="AN100">
        <v>59</v>
      </c>
      <c r="AO100">
        <v>71</v>
      </c>
      <c r="AP100">
        <v>88</v>
      </c>
      <c r="AQ100">
        <v>112</v>
      </c>
      <c r="AR100">
        <v>142</v>
      </c>
      <c r="AS100">
        <v>192</v>
      </c>
      <c r="AT100">
        <v>240</v>
      </c>
      <c r="AU100">
        <v>290</v>
      </c>
      <c r="AV100">
        <v>347</v>
      </c>
      <c r="AW100">
        <v>415</v>
      </c>
      <c r="AX100">
        <v>506</v>
      </c>
      <c r="AY100">
        <v>617</v>
      </c>
      <c r="AZ100">
        <v>755</v>
      </c>
      <c r="BA100">
        <v>927</v>
      </c>
      <c r="BB100">
        <v>1146</v>
      </c>
      <c r="BC100">
        <v>1469</v>
      </c>
      <c r="BD100">
        <v>1835</v>
      </c>
      <c r="BE100">
        <v>2215</v>
      </c>
      <c r="BF100">
        <v>2594</v>
      </c>
      <c r="BG100">
        <v>2999</v>
      </c>
      <c r="BH100">
        <v>3375</v>
      </c>
      <c r="BI100">
        <v>3737</v>
      </c>
      <c r="BJ100">
        <v>4118</v>
      </c>
      <c r="BK100">
        <v>4495</v>
      </c>
      <c r="BL100">
        <v>4895</v>
      </c>
      <c r="BM100">
        <v>5329</v>
      </c>
      <c r="BN100">
        <v>5752</v>
      </c>
      <c r="BO100">
        <v>6150</v>
      </c>
      <c r="BP100">
        <v>6536</v>
      </c>
      <c r="BQ100">
        <v>6878</v>
      </c>
      <c r="BR100">
        <v>7228</v>
      </c>
      <c r="BS100">
        <v>7532</v>
      </c>
      <c r="BT100">
        <v>7801</v>
      </c>
      <c r="BU100">
        <v>8038</v>
      </c>
      <c r="BV100">
        <v>8229</v>
      </c>
      <c r="BW100">
        <v>8376</v>
      </c>
      <c r="BX100">
        <v>8494</v>
      </c>
      <c r="BY100">
        <v>8560</v>
      </c>
      <c r="BZ100">
        <v>8629</v>
      </c>
      <c r="CA100">
        <v>8665</v>
      </c>
      <c r="CB100">
        <v>8696</v>
      </c>
      <c r="CC100">
        <v>8722</v>
      </c>
      <c r="CD100">
        <v>8741</v>
      </c>
      <c r="CE100">
        <v>8753</v>
      </c>
      <c r="CF100">
        <v>8759</v>
      </c>
      <c r="CG100">
        <v>8760</v>
      </c>
      <c r="CH100">
        <v>8760</v>
      </c>
      <c r="CI100">
        <v>8760</v>
      </c>
      <c r="CJ100">
        <v>8760</v>
      </c>
      <c r="CK100">
        <v>8760</v>
      </c>
      <c r="CL100">
        <v>8760</v>
      </c>
      <c r="CM100">
        <v>8760</v>
      </c>
      <c r="CN100">
        <v>8760</v>
      </c>
      <c r="CO100">
        <v>8760</v>
      </c>
      <c r="CP100">
        <v>8760</v>
      </c>
      <c r="CQ100">
        <v>8760</v>
      </c>
      <c r="CR100">
        <v>8760</v>
      </c>
      <c r="CS100">
        <v>8760</v>
      </c>
      <c r="CT100">
        <v>8760</v>
      </c>
      <c r="CU100">
        <v>8760</v>
      </c>
      <c r="CV100">
        <v>8760</v>
      </c>
      <c r="CW100">
        <v>8760</v>
      </c>
      <c r="CX100">
        <v>8760</v>
      </c>
      <c r="CY100">
        <v>8760</v>
      </c>
      <c r="CZ100">
        <v>8760</v>
      </c>
      <c r="DA100">
        <v>8760</v>
      </c>
      <c r="DB100">
        <v>8760</v>
      </c>
    </row>
    <row r="101" spans="1:106" x14ac:dyDescent="0.25">
      <c r="A101" s="13" t="s">
        <v>119</v>
      </c>
      <c r="B101" t="s">
        <v>121</v>
      </c>
      <c r="C101" t="s">
        <v>438</v>
      </c>
      <c r="D101" t="s">
        <v>594</v>
      </c>
      <c r="E101" t="s">
        <v>595</v>
      </c>
      <c r="F101">
        <v>102217</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5</v>
      </c>
      <c r="AO101">
        <v>8</v>
      </c>
      <c r="AP101">
        <v>11</v>
      </c>
      <c r="AQ101">
        <v>20</v>
      </c>
      <c r="AR101">
        <v>67</v>
      </c>
      <c r="AS101">
        <v>103</v>
      </c>
      <c r="AT101">
        <v>138</v>
      </c>
      <c r="AU101">
        <v>169</v>
      </c>
      <c r="AV101">
        <v>211</v>
      </c>
      <c r="AW101">
        <v>282</v>
      </c>
      <c r="AX101">
        <v>379</v>
      </c>
      <c r="AY101">
        <v>498</v>
      </c>
      <c r="AZ101">
        <v>678</v>
      </c>
      <c r="BA101">
        <v>863</v>
      </c>
      <c r="BB101">
        <v>1081</v>
      </c>
      <c r="BC101">
        <v>1406</v>
      </c>
      <c r="BD101">
        <v>1800</v>
      </c>
      <c r="BE101">
        <v>2248</v>
      </c>
      <c r="BF101">
        <v>2731</v>
      </c>
      <c r="BG101">
        <v>3098</v>
      </c>
      <c r="BH101">
        <v>3507</v>
      </c>
      <c r="BI101">
        <v>3914</v>
      </c>
      <c r="BJ101">
        <v>4252</v>
      </c>
      <c r="BK101">
        <v>4598</v>
      </c>
      <c r="BL101">
        <v>4956</v>
      </c>
      <c r="BM101">
        <v>5309</v>
      </c>
      <c r="BN101">
        <v>5664</v>
      </c>
      <c r="BO101">
        <v>6051</v>
      </c>
      <c r="BP101">
        <v>6407</v>
      </c>
      <c r="BQ101">
        <v>6765</v>
      </c>
      <c r="BR101">
        <v>7129</v>
      </c>
      <c r="BS101">
        <v>7482</v>
      </c>
      <c r="BT101">
        <v>7749</v>
      </c>
      <c r="BU101">
        <v>7967</v>
      </c>
      <c r="BV101">
        <v>8152</v>
      </c>
      <c r="BW101">
        <v>8310</v>
      </c>
      <c r="BX101">
        <v>8443</v>
      </c>
      <c r="BY101">
        <v>8554</v>
      </c>
      <c r="BZ101">
        <v>8613</v>
      </c>
      <c r="CA101">
        <v>8650</v>
      </c>
      <c r="CB101">
        <v>8684</v>
      </c>
      <c r="CC101">
        <v>8716</v>
      </c>
      <c r="CD101">
        <v>8742</v>
      </c>
      <c r="CE101">
        <v>8755</v>
      </c>
      <c r="CF101">
        <v>8759</v>
      </c>
      <c r="CG101">
        <v>8760</v>
      </c>
      <c r="CH101">
        <v>8760</v>
      </c>
      <c r="CI101">
        <v>8760</v>
      </c>
      <c r="CJ101">
        <v>8760</v>
      </c>
      <c r="CK101">
        <v>8760</v>
      </c>
      <c r="CL101">
        <v>8760</v>
      </c>
      <c r="CM101">
        <v>8760</v>
      </c>
      <c r="CN101">
        <v>8760</v>
      </c>
      <c r="CO101">
        <v>8760</v>
      </c>
      <c r="CP101">
        <v>8760</v>
      </c>
      <c r="CQ101">
        <v>8760</v>
      </c>
      <c r="CR101">
        <v>8760</v>
      </c>
      <c r="CS101">
        <v>8760</v>
      </c>
      <c r="CT101">
        <v>8760</v>
      </c>
      <c r="CU101">
        <v>8760</v>
      </c>
      <c r="CV101">
        <v>8760</v>
      </c>
      <c r="CW101">
        <v>8760</v>
      </c>
      <c r="CX101">
        <v>8760</v>
      </c>
      <c r="CY101">
        <v>8760</v>
      </c>
      <c r="CZ101">
        <v>8760</v>
      </c>
      <c r="DA101">
        <v>8760</v>
      </c>
      <c r="DB101">
        <v>8760</v>
      </c>
    </row>
    <row r="102" spans="1:106" x14ac:dyDescent="0.25">
      <c r="A102" s="13" t="s">
        <v>120</v>
      </c>
      <c r="B102" t="s">
        <v>122</v>
      </c>
      <c r="C102" t="s">
        <v>438</v>
      </c>
      <c r="D102" t="s">
        <v>596</v>
      </c>
      <c r="E102" t="s">
        <v>597</v>
      </c>
      <c r="F102">
        <v>102709</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1</v>
      </c>
      <c r="AC102">
        <v>4</v>
      </c>
      <c r="AD102">
        <v>8</v>
      </c>
      <c r="AE102">
        <v>13</v>
      </c>
      <c r="AF102">
        <v>16</v>
      </c>
      <c r="AG102">
        <v>18</v>
      </c>
      <c r="AH102">
        <v>20</v>
      </c>
      <c r="AI102">
        <v>24</v>
      </c>
      <c r="AJ102">
        <v>37</v>
      </c>
      <c r="AK102">
        <v>54</v>
      </c>
      <c r="AL102">
        <v>62</v>
      </c>
      <c r="AM102">
        <v>69</v>
      </c>
      <c r="AN102">
        <v>87</v>
      </c>
      <c r="AO102">
        <v>119</v>
      </c>
      <c r="AP102">
        <v>161</v>
      </c>
      <c r="AQ102">
        <v>220</v>
      </c>
      <c r="AR102">
        <v>296</v>
      </c>
      <c r="AS102">
        <v>379</v>
      </c>
      <c r="AT102">
        <v>484</v>
      </c>
      <c r="AU102">
        <v>624</v>
      </c>
      <c r="AV102">
        <v>772</v>
      </c>
      <c r="AW102">
        <v>890</v>
      </c>
      <c r="AX102">
        <v>1027</v>
      </c>
      <c r="AY102">
        <v>1201</v>
      </c>
      <c r="AZ102">
        <v>1418</v>
      </c>
      <c r="BA102">
        <v>1680</v>
      </c>
      <c r="BB102">
        <v>1998</v>
      </c>
      <c r="BC102">
        <v>2351</v>
      </c>
      <c r="BD102">
        <v>2757</v>
      </c>
      <c r="BE102">
        <v>3176</v>
      </c>
      <c r="BF102">
        <v>3553</v>
      </c>
      <c r="BG102">
        <v>3932</v>
      </c>
      <c r="BH102">
        <v>4226</v>
      </c>
      <c r="BI102">
        <v>4596</v>
      </c>
      <c r="BJ102">
        <v>4879</v>
      </c>
      <c r="BK102">
        <v>5180</v>
      </c>
      <c r="BL102">
        <v>5448</v>
      </c>
      <c r="BM102">
        <v>5745</v>
      </c>
      <c r="BN102">
        <v>6059</v>
      </c>
      <c r="BO102">
        <v>6449</v>
      </c>
      <c r="BP102">
        <v>6742</v>
      </c>
      <c r="BQ102">
        <v>7046</v>
      </c>
      <c r="BR102">
        <v>7342</v>
      </c>
      <c r="BS102">
        <v>7631</v>
      </c>
      <c r="BT102">
        <v>7845</v>
      </c>
      <c r="BU102">
        <v>8019</v>
      </c>
      <c r="BV102">
        <v>8200</v>
      </c>
      <c r="BW102">
        <v>8362</v>
      </c>
      <c r="BX102">
        <v>8477</v>
      </c>
      <c r="BY102">
        <v>8569</v>
      </c>
      <c r="BZ102">
        <v>8648</v>
      </c>
      <c r="CA102">
        <v>8684</v>
      </c>
      <c r="CB102">
        <v>8717</v>
      </c>
      <c r="CC102">
        <v>8739</v>
      </c>
      <c r="CD102">
        <v>8751</v>
      </c>
      <c r="CE102">
        <v>8754</v>
      </c>
      <c r="CF102">
        <v>8756</v>
      </c>
      <c r="CG102">
        <v>8760</v>
      </c>
      <c r="CH102">
        <v>8760</v>
      </c>
      <c r="CI102">
        <v>8760</v>
      </c>
      <c r="CJ102">
        <v>8760</v>
      </c>
      <c r="CK102">
        <v>8760</v>
      </c>
      <c r="CL102">
        <v>8760</v>
      </c>
      <c r="CM102">
        <v>8760</v>
      </c>
      <c r="CN102">
        <v>8760</v>
      </c>
      <c r="CO102">
        <v>8760</v>
      </c>
      <c r="CP102">
        <v>8760</v>
      </c>
      <c r="CQ102">
        <v>8760</v>
      </c>
      <c r="CR102">
        <v>8760</v>
      </c>
      <c r="CS102">
        <v>8760</v>
      </c>
      <c r="CT102">
        <v>8760</v>
      </c>
      <c r="CU102">
        <v>8760</v>
      </c>
      <c r="CV102">
        <v>8760</v>
      </c>
      <c r="CW102">
        <v>8760</v>
      </c>
      <c r="CX102">
        <v>8760</v>
      </c>
      <c r="CY102">
        <v>8760</v>
      </c>
      <c r="CZ102">
        <v>8760</v>
      </c>
      <c r="DA102">
        <v>8760</v>
      </c>
      <c r="DB102">
        <v>8760</v>
      </c>
    </row>
    <row r="103" spans="1:106" x14ac:dyDescent="0.25">
      <c r="A103" s="13" t="s">
        <v>121</v>
      </c>
      <c r="B103" t="s">
        <v>376</v>
      </c>
    </row>
    <row r="104" spans="1:106" x14ac:dyDescent="0.25">
      <c r="A104" s="13" t="s">
        <v>122</v>
      </c>
      <c r="B104" t="s">
        <v>127</v>
      </c>
      <c r="C104" t="s">
        <v>438</v>
      </c>
      <c r="D104" t="s">
        <v>598</v>
      </c>
      <c r="E104" t="s">
        <v>599</v>
      </c>
      <c r="F104">
        <v>102524</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1</v>
      </c>
      <c r="AP104">
        <v>5</v>
      </c>
      <c r="AQ104">
        <v>18</v>
      </c>
      <c r="AR104">
        <v>31</v>
      </c>
      <c r="AS104">
        <v>52</v>
      </c>
      <c r="AT104">
        <v>87</v>
      </c>
      <c r="AU104">
        <v>121</v>
      </c>
      <c r="AV104">
        <v>170</v>
      </c>
      <c r="AW104">
        <v>229</v>
      </c>
      <c r="AX104">
        <v>307</v>
      </c>
      <c r="AY104">
        <v>416</v>
      </c>
      <c r="AZ104">
        <v>579</v>
      </c>
      <c r="BA104">
        <v>742</v>
      </c>
      <c r="BB104">
        <v>1081</v>
      </c>
      <c r="BC104">
        <v>1389</v>
      </c>
      <c r="BD104">
        <v>1799</v>
      </c>
      <c r="BE104">
        <v>2341</v>
      </c>
      <c r="BF104">
        <v>2915</v>
      </c>
      <c r="BG104">
        <v>3335</v>
      </c>
      <c r="BH104">
        <v>3694</v>
      </c>
      <c r="BI104">
        <v>4002</v>
      </c>
      <c r="BJ104">
        <v>4331</v>
      </c>
      <c r="BK104">
        <v>4645</v>
      </c>
      <c r="BL104">
        <v>4935</v>
      </c>
      <c r="BM104">
        <v>5286</v>
      </c>
      <c r="BN104">
        <v>5630</v>
      </c>
      <c r="BO104">
        <v>5989</v>
      </c>
      <c r="BP104">
        <v>6344</v>
      </c>
      <c r="BQ104">
        <v>6707</v>
      </c>
      <c r="BR104">
        <v>7022</v>
      </c>
      <c r="BS104">
        <v>7346</v>
      </c>
      <c r="BT104">
        <v>7612</v>
      </c>
      <c r="BU104">
        <v>7864</v>
      </c>
      <c r="BV104">
        <v>8083</v>
      </c>
      <c r="BW104">
        <v>8264</v>
      </c>
      <c r="BX104">
        <v>8398</v>
      </c>
      <c r="BY104">
        <v>8515</v>
      </c>
      <c r="BZ104">
        <v>8586</v>
      </c>
      <c r="CA104">
        <v>8641</v>
      </c>
      <c r="CB104">
        <v>8688</v>
      </c>
      <c r="CC104">
        <v>8727</v>
      </c>
      <c r="CD104">
        <v>8750</v>
      </c>
      <c r="CE104">
        <v>8759</v>
      </c>
      <c r="CF104">
        <v>8760</v>
      </c>
      <c r="CG104">
        <v>8760</v>
      </c>
      <c r="CH104">
        <v>8760</v>
      </c>
      <c r="CI104">
        <v>8760</v>
      </c>
      <c r="CJ104">
        <v>8760</v>
      </c>
      <c r="CK104">
        <v>8760</v>
      </c>
      <c r="CL104">
        <v>8760</v>
      </c>
      <c r="CM104">
        <v>8760</v>
      </c>
      <c r="CN104">
        <v>8760</v>
      </c>
      <c r="CO104">
        <v>8760</v>
      </c>
      <c r="CP104">
        <v>8760</v>
      </c>
      <c r="CQ104">
        <v>8760</v>
      </c>
      <c r="CR104">
        <v>8760</v>
      </c>
      <c r="CS104">
        <v>8760</v>
      </c>
      <c r="CT104">
        <v>8760</v>
      </c>
      <c r="CU104">
        <v>8760</v>
      </c>
      <c r="CV104">
        <v>8760</v>
      </c>
      <c r="CW104">
        <v>8760</v>
      </c>
      <c r="CX104">
        <v>8760</v>
      </c>
      <c r="CY104">
        <v>8760</v>
      </c>
      <c r="CZ104">
        <v>8760</v>
      </c>
      <c r="DA104">
        <v>8760</v>
      </c>
      <c r="DB104">
        <v>8760</v>
      </c>
    </row>
    <row r="105" spans="1:106" x14ac:dyDescent="0.25">
      <c r="A105" s="13" t="s">
        <v>123</v>
      </c>
      <c r="B105" t="s">
        <v>128</v>
      </c>
      <c r="C105" t="s">
        <v>438</v>
      </c>
      <c r="D105" t="s">
        <v>600</v>
      </c>
      <c r="E105" t="s">
        <v>601</v>
      </c>
      <c r="F105">
        <v>102624</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1</v>
      </c>
      <c r="AN105">
        <v>9</v>
      </c>
      <c r="AO105">
        <v>13</v>
      </c>
      <c r="AP105">
        <v>16</v>
      </c>
      <c r="AQ105">
        <v>25</v>
      </c>
      <c r="AR105">
        <v>33</v>
      </c>
      <c r="AS105">
        <v>43</v>
      </c>
      <c r="AT105">
        <v>58</v>
      </c>
      <c r="AU105">
        <v>91</v>
      </c>
      <c r="AV105">
        <v>133</v>
      </c>
      <c r="AW105">
        <v>194</v>
      </c>
      <c r="AX105">
        <v>306</v>
      </c>
      <c r="AY105">
        <v>469</v>
      </c>
      <c r="AZ105">
        <v>631</v>
      </c>
      <c r="BA105">
        <v>794</v>
      </c>
      <c r="BB105">
        <v>1058</v>
      </c>
      <c r="BC105">
        <v>1340</v>
      </c>
      <c r="BD105">
        <v>1705</v>
      </c>
      <c r="BE105">
        <v>2212</v>
      </c>
      <c r="BF105">
        <v>2674</v>
      </c>
      <c r="BG105">
        <v>3110</v>
      </c>
      <c r="BH105">
        <v>3558</v>
      </c>
      <c r="BI105">
        <v>3956</v>
      </c>
      <c r="BJ105">
        <v>4314</v>
      </c>
      <c r="BK105">
        <v>4680</v>
      </c>
      <c r="BL105">
        <v>5006</v>
      </c>
      <c r="BM105">
        <v>5353</v>
      </c>
      <c r="BN105">
        <v>5667</v>
      </c>
      <c r="BO105">
        <v>5994</v>
      </c>
      <c r="BP105">
        <v>6329</v>
      </c>
      <c r="BQ105">
        <v>6654</v>
      </c>
      <c r="BR105">
        <v>7033</v>
      </c>
      <c r="BS105">
        <v>7374</v>
      </c>
      <c r="BT105">
        <v>7692</v>
      </c>
      <c r="BU105">
        <v>7994</v>
      </c>
      <c r="BV105">
        <v>8231</v>
      </c>
      <c r="BW105">
        <v>8396</v>
      </c>
      <c r="BX105">
        <v>8542</v>
      </c>
      <c r="BY105">
        <v>8639</v>
      </c>
      <c r="BZ105">
        <v>8711</v>
      </c>
      <c r="CA105">
        <v>8738</v>
      </c>
      <c r="CB105">
        <v>8756</v>
      </c>
      <c r="CC105">
        <v>8760</v>
      </c>
      <c r="CD105">
        <v>8760</v>
      </c>
      <c r="CE105">
        <v>8760</v>
      </c>
      <c r="CF105">
        <v>8760</v>
      </c>
      <c r="CG105">
        <v>8760</v>
      </c>
      <c r="CH105">
        <v>8760</v>
      </c>
      <c r="CI105">
        <v>8760</v>
      </c>
      <c r="CJ105">
        <v>8760</v>
      </c>
      <c r="CK105">
        <v>8760</v>
      </c>
      <c r="CL105">
        <v>8760</v>
      </c>
      <c r="CM105">
        <v>8760</v>
      </c>
      <c r="CN105">
        <v>8760</v>
      </c>
      <c r="CO105">
        <v>8760</v>
      </c>
      <c r="CP105">
        <v>8760</v>
      </c>
      <c r="CQ105">
        <v>8760</v>
      </c>
      <c r="CR105">
        <v>8760</v>
      </c>
      <c r="CS105">
        <v>8760</v>
      </c>
      <c r="CT105">
        <v>8760</v>
      </c>
      <c r="CU105">
        <v>8760</v>
      </c>
      <c r="CV105">
        <v>8760</v>
      </c>
      <c r="CW105">
        <v>8760</v>
      </c>
      <c r="CX105">
        <v>8760</v>
      </c>
      <c r="CY105">
        <v>8760</v>
      </c>
      <c r="CZ105">
        <v>8760</v>
      </c>
      <c r="DA105">
        <v>8760</v>
      </c>
      <c r="DB105">
        <v>8760</v>
      </c>
    </row>
    <row r="106" spans="1:106" x14ac:dyDescent="0.25">
      <c r="A106" s="13" t="s">
        <v>124</v>
      </c>
      <c r="B106" t="s">
        <v>129</v>
      </c>
      <c r="C106" t="s">
        <v>438</v>
      </c>
      <c r="D106" t="s">
        <v>602</v>
      </c>
      <c r="E106" t="s">
        <v>603</v>
      </c>
      <c r="F106">
        <v>102720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2</v>
      </c>
      <c r="AH106">
        <v>5</v>
      </c>
      <c r="AI106">
        <v>9</v>
      </c>
      <c r="AJ106">
        <v>22</v>
      </c>
      <c r="AK106">
        <v>55</v>
      </c>
      <c r="AL106">
        <v>70</v>
      </c>
      <c r="AM106">
        <v>85</v>
      </c>
      <c r="AN106">
        <v>110</v>
      </c>
      <c r="AO106">
        <v>141</v>
      </c>
      <c r="AP106">
        <v>177</v>
      </c>
      <c r="AQ106">
        <v>224</v>
      </c>
      <c r="AR106">
        <v>260</v>
      </c>
      <c r="AS106">
        <v>308</v>
      </c>
      <c r="AT106">
        <v>384</v>
      </c>
      <c r="AU106">
        <v>471</v>
      </c>
      <c r="AV106">
        <v>554</v>
      </c>
      <c r="AW106">
        <v>652</v>
      </c>
      <c r="AX106">
        <v>774</v>
      </c>
      <c r="AY106">
        <v>976</v>
      </c>
      <c r="AZ106">
        <v>1143</v>
      </c>
      <c r="BA106">
        <v>1334</v>
      </c>
      <c r="BB106">
        <v>1582</v>
      </c>
      <c r="BC106">
        <v>1967</v>
      </c>
      <c r="BD106">
        <v>2397</v>
      </c>
      <c r="BE106">
        <v>2898</v>
      </c>
      <c r="BF106">
        <v>3353</v>
      </c>
      <c r="BG106">
        <v>3731</v>
      </c>
      <c r="BH106">
        <v>4049</v>
      </c>
      <c r="BI106">
        <v>4376</v>
      </c>
      <c r="BJ106">
        <v>4705</v>
      </c>
      <c r="BK106">
        <v>5022</v>
      </c>
      <c r="BL106">
        <v>5343</v>
      </c>
      <c r="BM106">
        <v>5699</v>
      </c>
      <c r="BN106">
        <v>6040</v>
      </c>
      <c r="BO106">
        <v>6400</v>
      </c>
      <c r="BP106">
        <v>6747</v>
      </c>
      <c r="BQ106">
        <v>7069</v>
      </c>
      <c r="BR106">
        <v>7410</v>
      </c>
      <c r="BS106">
        <v>7689</v>
      </c>
      <c r="BT106">
        <v>7954</v>
      </c>
      <c r="BU106">
        <v>8163</v>
      </c>
      <c r="BV106">
        <v>8342</v>
      </c>
      <c r="BW106">
        <v>8462</v>
      </c>
      <c r="BX106">
        <v>8569</v>
      </c>
      <c r="BY106">
        <v>8633</v>
      </c>
      <c r="BZ106">
        <v>8682</v>
      </c>
      <c r="CA106">
        <v>8712</v>
      </c>
      <c r="CB106">
        <v>8727</v>
      </c>
      <c r="CC106">
        <v>8740</v>
      </c>
      <c r="CD106">
        <v>8753</v>
      </c>
      <c r="CE106">
        <v>8759</v>
      </c>
      <c r="CF106">
        <v>8760</v>
      </c>
      <c r="CG106">
        <v>8760</v>
      </c>
      <c r="CH106">
        <v>8760</v>
      </c>
      <c r="CI106">
        <v>8760</v>
      </c>
      <c r="CJ106">
        <v>8760</v>
      </c>
      <c r="CK106">
        <v>8760</v>
      </c>
      <c r="CL106">
        <v>8760</v>
      </c>
      <c r="CM106">
        <v>8760</v>
      </c>
      <c r="CN106">
        <v>8760</v>
      </c>
      <c r="CO106">
        <v>8760</v>
      </c>
      <c r="CP106">
        <v>8760</v>
      </c>
      <c r="CQ106">
        <v>8760</v>
      </c>
      <c r="CR106">
        <v>8760</v>
      </c>
      <c r="CS106">
        <v>8760</v>
      </c>
      <c r="CT106">
        <v>8760</v>
      </c>
      <c r="CU106">
        <v>8760</v>
      </c>
      <c r="CV106">
        <v>8760</v>
      </c>
      <c r="CW106">
        <v>8760</v>
      </c>
      <c r="CX106">
        <v>8760</v>
      </c>
      <c r="CY106">
        <v>8760</v>
      </c>
      <c r="CZ106">
        <v>8760</v>
      </c>
      <c r="DA106">
        <v>8760</v>
      </c>
      <c r="DB106">
        <v>8760</v>
      </c>
    </row>
    <row r="107" spans="1:106" x14ac:dyDescent="0.25">
      <c r="A107" s="13" t="s">
        <v>125</v>
      </c>
      <c r="B107" t="s">
        <v>130</v>
      </c>
      <c r="C107" t="s">
        <v>438</v>
      </c>
      <c r="D107" t="s">
        <v>604</v>
      </c>
      <c r="E107" t="s">
        <v>605</v>
      </c>
      <c r="F107">
        <v>102326</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1</v>
      </c>
      <c r="AH107">
        <v>6</v>
      </c>
      <c r="AI107">
        <v>10</v>
      </c>
      <c r="AJ107">
        <v>12</v>
      </c>
      <c r="AK107">
        <v>14</v>
      </c>
      <c r="AL107">
        <v>15</v>
      </c>
      <c r="AM107">
        <v>20</v>
      </c>
      <c r="AN107">
        <v>32</v>
      </c>
      <c r="AO107">
        <v>42</v>
      </c>
      <c r="AP107">
        <v>74</v>
      </c>
      <c r="AQ107">
        <v>85</v>
      </c>
      <c r="AR107">
        <v>130</v>
      </c>
      <c r="AS107">
        <v>181</v>
      </c>
      <c r="AT107">
        <v>231</v>
      </c>
      <c r="AU107">
        <v>291</v>
      </c>
      <c r="AV107">
        <v>363</v>
      </c>
      <c r="AW107">
        <v>441</v>
      </c>
      <c r="AX107">
        <v>534</v>
      </c>
      <c r="AY107">
        <v>663</v>
      </c>
      <c r="AZ107">
        <v>818</v>
      </c>
      <c r="BA107">
        <v>1004</v>
      </c>
      <c r="BB107">
        <v>1224</v>
      </c>
      <c r="BC107">
        <v>1487</v>
      </c>
      <c r="BD107">
        <v>1826</v>
      </c>
      <c r="BE107">
        <v>2273</v>
      </c>
      <c r="BF107">
        <v>2638</v>
      </c>
      <c r="BG107">
        <v>3017</v>
      </c>
      <c r="BH107">
        <v>3441</v>
      </c>
      <c r="BI107">
        <v>3871</v>
      </c>
      <c r="BJ107">
        <v>4256</v>
      </c>
      <c r="BK107">
        <v>4719</v>
      </c>
      <c r="BL107">
        <v>5050</v>
      </c>
      <c r="BM107">
        <v>5382</v>
      </c>
      <c r="BN107">
        <v>5735</v>
      </c>
      <c r="BO107">
        <v>6071</v>
      </c>
      <c r="BP107">
        <v>6397</v>
      </c>
      <c r="BQ107">
        <v>6708</v>
      </c>
      <c r="BR107">
        <v>7020</v>
      </c>
      <c r="BS107">
        <v>7302</v>
      </c>
      <c r="BT107">
        <v>7551</v>
      </c>
      <c r="BU107">
        <v>7777</v>
      </c>
      <c r="BV107">
        <v>7944</v>
      </c>
      <c r="BW107">
        <v>8093</v>
      </c>
      <c r="BX107">
        <v>8216</v>
      </c>
      <c r="BY107">
        <v>8310</v>
      </c>
      <c r="BZ107">
        <v>8409</v>
      </c>
      <c r="CA107">
        <v>8506</v>
      </c>
      <c r="CB107">
        <v>8574</v>
      </c>
      <c r="CC107">
        <v>8624</v>
      </c>
      <c r="CD107">
        <v>8679</v>
      </c>
      <c r="CE107">
        <v>8722</v>
      </c>
      <c r="CF107">
        <v>8745</v>
      </c>
      <c r="CG107">
        <v>8756</v>
      </c>
      <c r="CH107">
        <v>8760</v>
      </c>
      <c r="CI107">
        <v>8760</v>
      </c>
      <c r="CJ107">
        <v>8760</v>
      </c>
      <c r="CK107">
        <v>8760</v>
      </c>
      <c r="CL107">
        <v>8760</v>
      </c>
      <c r="CM107">
        <v>8760</v>
      </c>
      <c r="CN107">
        <v>8760</v>
      </c>
      <c r="CO107">
        <v>8760</v>
      </c>
      <c r="CP107">
        <v>8760</v>
      </c>
      <c r="CQ107">
        <v>8760</v>
      </c>
      <c r="CR107">
        <v>8760</v>
      </c>
      <c r="CS107">
        <v>8760</v>
      </c>
      <c r="CT107">
        <v>8760</v>
      </c>
      <c r="CU107">
        <v>8760</v>
      </c>
      <c r="CV107">
        <v>8760</v>
      </c>
      <c r="CW107">
        <v>8760</v>
      </c>
      <c r="CX107">
        <v>8760</v>
      </c>
      <c r="CY107">
        <v>8760</v>
      </c>
      <c r="CZ107">
        <v>8760</v>
      </c>
      <c r="DA107">
        <v>8760</v>
      </c>
      <c r="DB107">
        <v>8760</v>
      </c>
    </row>
    <row r="108" spans="1:106" x14ac:dyDescent="0.25">
      <c r="A108" s="13" t="s">
        <v>126</v>
      </c>
      <c r="B108" t="s">
        <v>131</v>
      </c>
      <c r="C108" t="s">
        <v>438</v>
      </c>
      <c r="D108" t="s">
        <v>606</v>
      </c>
      <c r="E108" t="s">
        <v>607</v>
      </c>
      <c r="F108">
        <v>102316</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1</v>
      </c>
      <c r="AP108">
        <v>7</v>
      </c>
      <c r="AQ108">
        <v>23</v>
      </c>
      <c r="AR108">
        <v>58</v>
      </c>
      <c r="AS108">
        <v>80</v>
      </c>
      <c r="AT108">
        <v>110</v>
      </c>
      <c r="AU108">
        <v>137</v>
      </c>
      <c r="AV108">
        <v>177</v>
      </c>
      <c r="AW108">
        <v>225</v>
      </c>
      <c r="AX108">
        <v>299</v>
      </c>
      <c r="AY108">
        <v>400</v>
      </c>
      <c r="AZ108">
        <v>531</v>
      </c>
      <c r="BA108">
        <v>677</v>
      </c>
      <c r="BB108">
        <v>868</v>
      </c>
      <c r="BC108">
        <v>1108</v>
      </c>
      <c r="BD108">
        <v>1494</v>
      </c>
      <c r="BE108">
        <v>1899</v>
      </c>
      <c r="BF108">
        <v>2266</v>
      </c>
      <c r="BG108">
        <v>2743</v>
      </c>
      <c r="BH108">
        <v>3271</v>
      </c>
      <c r="BI108">
        <v>3716</v>
      </c>
      <c r="BJ108">
        <v>4118</v>
      </c>
      <c r="BK108">
        <v>4541</v>
      </c>
      <c r="BL108">
        <v>4868</v>
      </c>
      <c r="BM108">
        <v>5181</v>
      </c>
      <c r="BN108">
        <v>5556</v>
      </c>
      <c r="BO108">
        <v>5932</v>
      </c>
      <c r="BP108">
        <v>6345</v>
      </c>
      <c r="BQ108">
        <v>6736</v>
      </c>
      <c r="BR108">
        <v>7150</v>
      </c>
      <c r="BS108">
        <v>7538</v>
      </c>
      <c r="BT108">
        <v>7833</v>
      </c>
      <c r="BU108">
        <v>8064</v>
      </c>
      <c r="BV108">
        <v>8229</v>
      </c>
      <c r="BW108">
        <v>8357</v>
      </c>
      <c r="BX108">
        <v>8457</v>
      </c>
      <c r="BY108">
        <v>8542</v>
      </c>
      <c r="BZ108">
        <v>8587</v>
      </c>
      <c r="CA108">
        <v>8628</v>
      </c>
      <c r="CB108">
        <v>8657</v>
      </c>
      <c r="CC108">
        <v>8677</v>
      </c>
      <c r="CD108">
        <v>8707</v>
      </c>
      <c r="CE108">
        <v>8720</v>
      </c>
      <c r="CF108">
        <v>8732</v>
      </c>
      <c r="CG108">
        <v>8741</v>
      </c>
      <c r="CH108">
        <v>8751</v>
      </c>
      <c r="CI108">
        <v>8760</v>
      </c>
      <c r="CJ108">
        <v>8760</v>
      </c>
      <c r="CK108">
        <v>8760</v>
      </c>
      <c r="CL108">
        <v>8760</v>
      </c>
      <c r="CM108">
        <v>8760</v>
      </c>
      <c r="CN108">
        <v>8760</v>
      </c>
      <c r="CO108">
        <v>8760</v>
      </c>
      <c r="CP108">
        <v>8760</v>
      </c>
      <c r="CQ108">
        <v>8760</v>
      </c>
      <c r="CR108">
        <v>8760</v>
      </c>
      <c r="CS108">
        <v>8760</v>
      </c>
      <c r="CT108">
        <v>8760</v>
      </c>
      <c r="CU108">
        <v>8760</v>
      </c>
      <c r="CV108">
        <v>8760</v>
      </c>
      <c r="CW108">
        <v>8760</v>
      </c>
      <c r="CX108">
        <v>8760</v>
      </c>
      <c r="CY108">
        <v>8760</v>
      </c>
      <c r="CZ108">
        <v>8760</v>
      </c>
      <c r="DA108">
        <v>8760</v>
      </c>
      <c r="DB108">
        <v>8760</v>
      </c>
    </row>
    <row r="109" spans="1:106" x14ac:dyDescent="0.25">
      <c r="A109" s="13" t="s">
        <v>127</v>
      </c>
      <c r="B109" t="s">
        <v>377</v>
      </c>
      <c r="C109" t="s">
        <v>438</v>
      </c>
      <c r="D109" t="s">
        <v>608</v>
      </c>
      <c r="E109" t="s">
        <v>609</v>
      </c>
      <c r="F109">
        <v>102637</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1</v>
      </c>
      <c r="AN109">
        <v>3</v>
      </c>
      <c r="AO109">
        <v>7</v>
      </c>
      <c r="AP109">
        <v>23</v>
      </c>
      <c r="AQ109">
        <v>39</v>
      </c>
      <c r="AR109">
        <v>62</v>
      </c>
      <c r="AS109">
        <v>100</v>
      </c>
      <c r="AT109">
        <v>146</v>
      </c>
      <c r="AU109">
        <v>207</v>
      </c>
      <c r="AV109">
        <v>258</v>
      </c>
      <c r="AW109">
        <v>343</v>
      </c>
      <c r="AX109">
        <v>471</v>
      </c>
      <c r="AY109">
        <v>614</v>
      </c>
      <c r="AZ109">
        <v>755</v>
      </c>
      <c r="BA109">
        <v>957</v>
      </c>
      <c r="BB109">
        <v>1154</v>
      </c>
      <c r="BC109">
        <v>1411</v>
      </c>
      <c r="BD109">
        <v>1767</v>
      </c>
      <c r="BE109">
        <v>2239</v>
      </c>
      <c r="BF109">
        <v>2687</v>
      </c>
      <c r="BG109">
        <v>3099</v>
      </c>
      <c r="BH109">
        <v>3473</v>
      </c>
      <c r="BI109">
        <v>3912</v>
      </c>
      <c r="BJ109">
        <v>4319</v>
      </c>
      <c r="BK109">
        <v>4674</v>
      </c>
      <c r="BL109">
        <v>4954</v>
      </c>
      <c r="BM109">
        <v>5249</v>
      </c>
      <c r="BN109">
        <v>5591</v>
      </c>
      <c r="BO109">
        <v>5931</v>
      </c>
      <c r="BP109">
        <v>6292</v>
      </c>
      <c r="BQ109">
        <v>6617</v>
      </c>
      <c r="BR109">
        <v>6996</v>
      </c>
      <c r="BS109">
        <v>7309</v>
      </c>
      <c r="BT109">
        <v>7580</v>
      </c>
      <c r="BU109">
        <v>7867</v>
      </c>
      <c r="BV109">
        <v>8047</v>
      </c>
      <c r="BW109">
        <v>8205</v>
      </c>
      <c r="BX109">
        <v>8325</v>
      </c>
      <c r="BY109">
        <v>8446</v>
      </c>
      <c r="BZ109">
        <v>8541</v>
      </c>
      <c r="CA109">
        <v>8602</v>
      </c>
      <c r="CB109">
        <v>8661</v>
      </c>
      <c r="CC109">
        <v>8691</v>
      </c>
      <c r="CD109">
        <v>8714</v>
      </c>
      <c r="CE109">
        <v>8733</v>
      </c>
      <c r="CF109">
        <v>8745</v>
      </c>
      <c r="CG109">
        <v>8752</v>
      </c>
      <c r="CH109">
        <v>8758</v>
      </c>
      <c r="CI109">
        <v>8760</v>
      </c>
      <c r="CJ109">
        <v>8760</v>
      </c>
      <c r="CK109">
        <v>8760</v>
      </c>
      <c r="CL109">
        <v>8760</v>
      </c>
      <c r="CM109">
        <v>8760</v>
      </c>
      <c r="CN109">
        <v>8760</v>
      </c>
      <c r="CO109">
        <v>8760</v>
      </c>
      <c r="CP109">
        <v>8760</v>
      </c>
      <c r="CQ109">
        <v>8760</v>
      </c>
      <c r="CR109">
        <v>8760</v>
      </c>
      <c r="CS109">
        <v>8760</v>
      </c>
      <c r="CT109">
        <v>8760</v>
      </c>
      <c r="CU109">
        <v>8760</v>
      </c>
      <c r="CV109">
        <v>8760</v>
      </c>
      <c r="CW109">
        <v>8760</v>
      </c>
      <c r="CX109">
        <v>8760</v>
      </c>
      <c r="CY109">
        <v>8760</v>
      </c>
      <c r="CZ109">
        <v>8760</v>
      </c>
      <c r="DA109">
        <v>8760</v>
      </c>
      <c r="DB109">
        <v>8760</v>
      </c>
    </row>
    <row r="110" spans="1:106" x14ac:dyDescent="0.25">
      <c r="A110" s="13" t="s">
        <v>128</v>
      </c>
      <c r="B110" t="s">
        <v>104</v>
      </c>
      <c r="C110" t="s">
        <v>438</v>
      </c>
      <c r="D110" t="s">
        <v>610</v>
      </c>
      <c r="E110" t="s">
        <v>611</v>
      </c>
      <c r="F110">
        <v>102531</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4</v>
      </c>
      <c r="AJ110">
        <v>15</v>
      </c>
      <c r="AK110">
        <v>31</v>
      </c>
      <c r="AL110">
        <v>51</v>
      </c>
      <c r="AM110">
        <v>88</v>
      </c>
      <c r="AN110">
        <v>111</v>
      </c>
      <c r="AO110">
        <v>133</v>
      </c>
      <c r="AP110">
        <v>168</v>
      </c>
      <c r="AQ110">
        <v>210</v>
      </c>
      <c r="AR110">
        <v>248</v>
      </c>
      <c r="AS110">
        <v>307</v>
      </c>
      <c r="AT110">
        <v>385</v>
      </c>
      <c r="AU110">
        <v>478</v>
      </c>
      <c r="AV110">
        <v>585</v>
      </c>
      <c r="AW110">
        <v>699</v>
      </c>
      <c r="AX110">
        <v>837</v>
      </c>
      <c r="AY110">
        <v>993</v>
      </c>
      <c r="AZ110">
        <v>1217</v>
      </c>
      <c r="BA110">
        <v>1514</v>
      </c>
      <c r="BB110">
        <v>1811</v>
      </c>
      <c r="BC110">
        <v>2109</v>
      </c>
      <c r="BD110">
        <v>2478</v>
      </c>
      <c r="BE110">
        <v>2890</v>
      </c>
      <c r="BF110">
        <v>3297</v>
      </c>
      <c r="BG110">
        <v>3702</v>
      </c>
      <c r="BH110">
        <v>4046</v>
      </c>
      <c r="BI110">
        <v>4392</v>
      </c>
      <c r="BJ110">
        <v>4721</v>
      </c>
      <c r="BK110">
        <v>5069</v>
      </c>
      <c r="BL110">
        <v>5396</v>
      </c>
      <c r="BM110">
        <v>5618</v>
      </c>
      <c r="BN110">
        <v>5879</v>
      </c>
      <c r="BO110">
        <v>6161</v>
      </c>
      <c r="BP110">
        <v>6456</v>
      </c>
      <c r="BQ110">
        <v>6791</v>
      </c>
      <c r="BR110">
        <v>7163</v>
      </c>
      <c r="BS110">
        <v>7458</v>
      </c>
      <c r="BT110">
        <v>7751</v>
      </c>
      <c r="BU110">
        <v>7960</v>
      </c>
      <c r="BV110">
        <v>8149</v>
      </c>
      <c r="BW110">
        <v>8283</v>
      </c>
      <c r="BX110">
        <v>8390</v>
      </c>
      <c r="BY110">
        <v>8482</v>
      </c>
      <c r="BZ110">
        <v>8543</v>
      </c>
      <c r="CA110">
        <v>8584</v>
      </c>
      <c r="CB110">
        <v>8627</v>
      </c>
      <c r="CC110">
        <v>8667</v>
      </c>
      <c r="CD110">
        <v>8694</v>
      </c>
      <c r="CE110">
        <v>8728</v>
      </c>
      <c r="CF110">
        <v>8741</v>
      </c>
      <c r="CG110">
        <v>8748</v>
      </c>
      <c r="CH110">
        <v>8752</v>
      </c>
      <c r="CI110">
        <v>8759</v>
      </c>
      <c r="CJ110">
        <v>8760</v>
      </c>
      <c r="CK110">
        <v>8760</v>
      </c>
      <c r="CL110">
        <v>8760</v>
      </c>
      <c r="CM110">
        <v>8760</v>
      </c>
      <c r="CN110">
        <v>8760</v>
      </c>
      <c r="CO110">
        <v>8760</v>
      </c>
      <c r="CP110">
        <v>8760</v>
      </c>
      <c r="CQ110">
        <v>8760</v>
      </c>
      <c r="CR110">
        <v>8760</v>
      </c>
      <c r="CS110">
        <v>8760</v>
      </c>
      <c r="CT110">
        <v>8760</v>
      </c>
      <c r="CU110">
        <v>8760</v>
      </c>
      <c r="CV110">
        <v>8760</v>
      </c>
      <c r="CW110">
        <v>8760</v>
      </c>
      <c r="CX110">
        <v>8760</v>
      </c>
      <c r="CY110">
        <v>8760</v>
      </c>
      <c r="CZ110">
        <v>8760</v>
      </c>
      <c r="DA110">
        <v>8760</v>
      </c>
      <c r="DB110">
        <v>8760</v>
      </c>
    </row>
    <row r="111" spans="1:106" x14ac:dyDescent="0.25">
      <c r="A111" s="13" t="s">
        <v>129</v>
      </c>
      <c r="B111" t="s">
        <v>378</v>
      </c>
      <c r="C111" t="s">
        <v>438</v>
      </c>
      <c r="D111" t="s">
        <v>612</v>
      </c>
      <c r="E111" t="s">
        <v>613</v>
      </c>
      <c r="F111">
        <v>102806</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2</v>
      </c>
      <c r="AL111">
        <v>7</v>
      </c>
      <c r="AM111">
        <v>13</v>
      </c>
      <c r="AN111">
        <v>33</v>
      </c>
      <c r="AO111">
        <v>57</v>
      </c>
      <c r="AP111">
        <v>121</v>
      </c>
      <c r="AQ111">
        <v>197</v>
      </c>
      <c r="AR111">
        <v>263</v>
      </c>
      <c r="AS111">
        <v>333</v>
      </c>
      <c r="AT111">
        <v>441</v>
      </c>
      <c r="AU111">
        <v>560</v>
      </c>
      <c r="AV111">
        <v>706</v>
      </c>
      <c r="AW111">
        <v>814</v>
      </c>
      <c r="AX111">
        <v>929</v>
      </c>
      <c r="AY111">
        <v>1117</v>
      </c>
      <c r="AZ111">
        <v>1345</v>
      </c>
      <c r="BA111">
        <v>1561</v>
      </c>
      <c r="BB111">
        <v>1835</v>
      </c>
      <c r="BC111">
        <v>2195</v>
      </c>
      <c r="BD111">
        <v>2586</v>
      </c>
      <c r="BE111">
        <v>3067</v>
      </c>
      <c r="BF111">
        <v>3464</v>
      </c>
      <c r="BG111">
        <v>3945</v>
      </c>
      <c r="BH111">
        <v>4303</v>
      </c>
      <c r="BI111">
        <v>4658</v>
      </c>
      <c r="BJ111">
        <v>4980</v>
      </c>
      <c r="BK111">
        <v>5240</v>
      </c>
      <c r="BL111">
        <v>5544</v>
      </c>
      <c r="BM111">
        <v>5803</v>
      </c>
      <c r="BN111">
        <v>6137</v>
      </c>
      <c r="BO111">
        <v>6516</v>
      </c>
      <c r="BP111">
        <v>6888</v>
      </c>
      <c r="BQ111">
        <v>7244</v>
      </c>
      <c r="BR111">
        <v>7592</v>
      </c>
      <c r="BS111">
        <v>7902</v>
      </c>
      <c r="BT111">
        <v>8150</v>
      </c>
      <c r="BU111">
        <v>8335</v>
      </c>
      <c r="BV111">
        <v>8476</v>
      </c>
      <c r="BW111">
        <v>8581</v>
      </c>
      <c r="BX111">
        <v>8644</v>
      </c>
      <c r="BY111">
        <v>8691</v>
      </c>
      <c r="BZ111">
        <v>8726</v>
      </c>
      <c r="CA111">
        <v>8746</v>
      </c>
      <c r="CB111">
        <v>8755</v>
      </c>
      <c r="CC111">
        <v>8760</v>
      </c>
      <c r="CD111">
        <v>8760</v>
      </c>
      <c r="CE111">
        <v>8760</v>
      </c>
      <c r="CF111">
        <v>8760</v>
      </c>
      <c r="CG111">
        <v>8760</v>
      </c>
      <c r="CH111">
        <v>8760</v>
      </c>
      <c r="CI111">
        <v>8760</v>
      </c>
      <c r="CJ111">
        <v>8760</v>
      </c>
      <c r="CK111">
        <v>8760</v>
      </c>
      <c r="CL111">
        <v>8760</v>
      </c>
      <c r="CM111">
        <v>8760</v>
      </c>
      <c r="CN111">
        <v>8760</v>
      </c>
      <c r="CO111">
        <v>8760</v>
      </c>
      <c r="CP111">
        <v>8760</v>
      </c>
      <c r="CQ111">
        <v>8760</v>
      </c>
      <c r="CR111">
        <v>8760</v>
      </c>
      <c r="CS111">
        <v>8760</v>
      </c>
      <c r="CT111">
        <v>8760</v>
      </c>
      <c r="CU111">
        <v>8760</v>
      </c>
      <c r="CV111">
        <v>8760</v>
      </c>
      <c r="CW111">
        <v>8760</v>
      </c>
      <c r="CX111">
        <v>8760</v>
      </c>
      <c r="CY111">
        <v>8760</v>
      </c>
      <c r="CZ111">
        <v>8760</v>
      </c>
      <c r="DA111">
        <v>8760</v>
      </c>
      <c r="DB111">
        <v>8760</v>
      </c>
    </row>
    <row r="112" spans="1:106" x14ac:dyDescent="0.25">
      <c r="A112" s="13" t="s">
        <v>130</v>
      </c>
      <c r="B112" t="s">
        <v>113</v>
      </c>
      <c r="C112" t="s">
        <v>438</v>
      </c>
      <c r="D112" t="s">
        <v>471</v>
      </c>
      <c r="E112" t="s">
        <v>614</v>
      </c>
      <c r="F112">
        <v>102254</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2</v>
      </c>
      <c r="AP112">
        <v>7</v>
      </c>
      <c r="AQ112">
        <v>9</v>
      </c>
      <c r="AR112">
        <v>11</v>
      </c>
      <c r="AS112">
        <v>14</v>
      </c>
      <c r="AT112">
        <v>35</v>
      </c>
      <c r="AU112">
        <v>56</v>
      </c>
      <c r="AV112">
        <v>75</v>
      </c>
      <c r="AW112">
        <v>107</v>
      </c>
      <c r="AX112">
        <v>156</v>
      </c>
      <c r="AY112">
        <v>221</v>
      </c>
      <c r="AZ112">
        <v>309</v>
      </c>
      <c r="BA112">
        <v>421</v>
      </c>
      <c r="BB112">
        <v>613</v>
      </c>
      <c r="BC112">
        <v>873</v>
      </c>
      <c r="BD112">
        <v>1160</v>
      </c>
      <c r="BE112">
        <v>1525</v>
      </c>
      <c r="BF112">
        <v>1967</v>
      </c>
      <c r="BG112">
        <v>2381</v>
      </c>
      <c r="BH112">
        <v>2813</v>
      </c>
      <c r="BI112">
        <v>3208</v>
      </c>
      <c r="BJ112">
        <v>3647</v>
      </c>
      <c r="BK112">
        <v>4150</v>
      </c>
      <c r="BL112">
        <v>4540</v>
      </c>
      <c r="BM112">
        <v>4902</v>
      </c>
      <c r="BN112">
        <v>5308</v>
      </c>
      <c r="BO112">
        <v>5718</v>
      </c>
      <c r="BP112">
        <v>6098</v>
      </c>
      <c r="BQ112">
        <v>6498</v>
      </c>
      <c r="BR112">
        <v>6855</v>
      </c>
      <c r="BS112">
        <v>7234</v>
      </c>
      <c r="BT112">
        <v>7619</v>
      </c>
      <c r="BU112">
        <v>7905</v>
      </c>
      <c r="BV112">
        <v>8144</v>
      </c>
      <c r="BW112">
        <v>8336</v>
      </c>
      <c r="BX112">
        <v>8445</v>
      </c>
      <c r="BY112">
        <v>8532</v>
      </c>
      <c r="BZ112">
        <v>8592</v>
      </c>
      <c r="CA112">
        <v>8645</v>
      </c>
      <c r="CB112">
        <v>8687</v>
      </c>
      <c r="CC112">
        <v>8713</v>
      </c>
      <c r="CD112">
        <v>8734</v>
      </c>
      <c r="CE112">
        <v>8745</v>
      </c>
      <c r="CF112">
        <v>8755</v>
      </c>
      <c r="CG112">
        <v>8759</v>
      </c>
      <c r="CH112">
        <v>8760</v>
      </c>
      <c r="CI112">
        <v>8760</v>
      </c>
      <c r="CJ112">
        <v>8760</v>
      </c>
      <c r="CK112">
        <v>8760</v>
      </c>
      <c r="CL112">
        <v>8760</v>
      </c>
      <c r="CM112">
        <v>8760</v>
      </c>
      <c r="CN112">
        <v>8760</v>
      </c>
      <c r="CO112">
        <v>8760</v>
      </c>
      <c r="CP112">
        <v>8760</v>
      </c>
      <c r="CQ112">
        <v>8760</v>
      </c>
      <c r="CR112">
        <v>8760</v>
      </c>
      <c r="CS112">
        <v>8760</v>
      </c>
      <c r="CT112">
        <v>8760</v>
      </c>
      <c r="CU112">
        <v>8760</v>
      </c>
      <c r="CV112">
        <v>8760</v>
      </c>
      <c r="CW112">
        <v>8760</v>
      </c>
      <c r="CX112">
        <v>8760</v>
      </c>
      <c r="CY112">
        <v>8760</v>
      </c>
      <c r="CZ112">
        <v>8760</v>
      </c>
      <c r="DA112">
        <v>8760</v>
      </c>
      <c r="DB112">
        <v>8760</v>
      </c>
    </row>
    <row r="113" spans="1:106" x14ac:dyDescent="0.25">
      <c r="A113" s="13" t="s">
        <v>131</v>
      </c>
      <c r="B113" t="s">
        <v>114</v>
      </c>
      <c r="C113" t="s">
        <v>438</v>
      </c>
      <c r="D113" t="s">
        <v>615</v>
      </c>
      <c r="E113" t="s">
        <v>616</v>
      </c>
      <c r="F113">
        <v>102112</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2</v>
      </c>
      <c r="AP113">
        <v>6</v>
      </c>
      <c r="AQ113">
        <v>21</v>
      </c>
      <c r="AR113">
        <v>38</v>
      </c>
      <c r="AS113">
        <v>60</v>
      </c>
      <c r="AT113">
        <v>90</v>
      </c>
      <c r="AU113">
        <v>114</v>
      </c>
      <c r="AV113">
        <v>145</v>
      </c>
      <c r="AW113">
        <v>196</v>
      </c>
      <c r="AX113">
        <v>253</v>
      </c>
      <c r="AY113">
        <v>301</v>
      </c>
      <c r="AZ113">
        <v>414</v>
      </c>
      <c r="BA113">
        <v>530</v>
      </c>
      <c r="BB113">
        <v>706</v>
      </c>
      <c r="BC113">
        <v>921</v>
      </c>
      <c r="BD113">
        <v>1179</v>
      </c>
      <c r="BE113">
        <v>1640</v>
      </c>
      <c r="BF113">
        <v>2105</v>
      </c>
      <c r="BG113">
        <v>2554</v>
      </c>
      <c r="BH113">
        <v>3046</v>
      </c>
      <c r="BI113">
        <v>3486</v>
      </c>
      <c r="BJ113">
        <v>3925</v>
      </c>
      <c r="BK113">
        <v>4285</v>
      </c>
      <c r="BL113">
        <v>4597</v>
      </c>
      <c r="BM113">
        <v>4855</v>
      </c>
      <c r="BN113">
        <v>5170</v>
      </c>
      <c r="BO113">
        <v>5545</v>
      </c>
      <c r="BP113">
        <v>5976</v>
      </c>
      <c r="BQ113">
        <v>6430</v>
      </c>
      <c r="BR113">
        <v>6793</v>
      </c>
      <c r="BS113">
        <v>7140</v>
      </c>
      <c r="BT113">
        <v>7443</v>
      </c>
      <c r="BU113">
        <v>7724</v>
      </c>
      <c r="BV113">
        <v>7973</v>
      </c>
      <c r="BW113">
        <v>8168</v>
      </c>
      <c r="BX113">
        <v>8323</v>
      </c>
      <c r="BY113">
        <v>8425</v>
      </c>
      <c r="BZ113">
        <v>8509</v>
      </c>
      <c r="CA113">
        <v>8585</v>
      </c>
      <c r="CB113">
        <v>8655</v>
      </c>
      <c r="CC113">
        <v>8693</v>
      </c>
      <c r="CD113">
        <v>8710</v>
      </c>
      <c r="CE113">
        <v>8718</v>
      </c>
      <c r="CF113">
        <v>8733</v>
      </c>
      <c r="CG113">
        <v>8743</v>
      </c>
      <c r="CH113">
        <v>8749</v>
      </c>
      <c r="CI113">
        <v>8760</v>
      </c>
      <c r="CJ113">
        <v>8760</v>
      </c>
      <c r="CK113">
        <v>8760</v>
      </c>
      <c r="CL113">
        <v>8760</v>
      </c>
      <c r="CM113">
        <v>8760</v>
      </c>
      <c r="CN113">
        <v>8760</v>
      </c>
      <c r="CO113">
        <v>8760</v>
      </c>
      <c r="CP113">
        <v>8760</v>
      </c>
      <c r="CQ113">
        <v>8760</v>
      </c>
      <c r="CR113">
        <v>8760</v>
      </c>
      <c r="CS113">
        <v>8760</v>
      </c>
      <c r="CT113">
        <v>8760</v>
      </c>
      <c r="CU113">
        <v>8760</v>
      </c>
      <c r="CV113">
        <v>8760</v>
      </c>
      <c r="CW113">
        <v>8760</v>
      </c>
      <c r="CX113">
        <v>8760</v>
      </c>
      <c r="CY113">
        <v>8760</v>
      </c>
      <c r="CZ113">
        <v>8760</v>
      </c>
      <c r="DA113">
        <v>8760</v>
      </c>
      <c r="DB113">
        <v>8760</v>
      </c>
    </row>
    <row r="114" spans="1:106" x14ac:dyDescent="0.25">
      <c r="A114" s="13" t="s">
        <v>132</v>
      </c>
      <c r="B114" t="s">
        <v>123</v>
      </c>
      <c r="C114" t="s">
        <v>438</v>
      </c>
      <c r="D114" t="s">
        <v>617</v>
      </c>
      <c r="E114" t="s">
        <v>618</v>
      </c>
      <c r="F114">
        <v>102129</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9</v>
      </c>
      <c r="AU114">
        <v>22</v>
      </c>
      <c r="AV114">
        <v>29</v>
      </c>
      <c r="AW114">
        <v>36</v>
      </c>
      <c r="AX114">
        <v>48</v>
      </c>
      <c r="AY114">
        <v>80</v>
      </c>
      <c r="AZ114">
        <v>150</v>
      </c>
      <c r="BA114">
        <v>246</v>
      </c>
      <c r="BB114">
        <v>380</v>
      </c>
      <c r="BC114">
        <v>593</v>
      </c>
      <c r="BD114">
        <v>902</v>
      </c>
      <c r="BE114">
        <v>1260</v>
      </c>
      <c r="BF114">
        <v>1721</v>
      </c>
      <c r="BG114">
        <v>2110</v>
      </c>
      <c r="BH114">
        <v>2660</v>
      </c>
      <c r="BI114">
        <v>3049</v>
      </c>
      <c r="BJ114">
        <v>3444</v>
      </c>
      <c r="BK114">
        <v>3884</v>
      </c>
      <c r="BL114">
        <v>4337</v>
      </c>
      <c r="BM114">
        <v>4699</v>
      </c>
      <c r="BN114">
        <v>5076</v>
      </c>
      <c r="BO114">
        <v>5428</v>
      </c>
      <c r="BP114">
        <v>5797</v>
      </c>
      <c r="BQ114">
        <v>6201</v>
      </c>
      <c r="BR114">
        <v>6653</v>
      </c>
      <c r="BS114">
        <v>7074</v>
      </c>
      <c r="BT114">
        <v>7470</v>
      </c>
      <c r="BU114">
        <v>7856</v>
      </c>
      <c r="BV114">
        <v>8124</v>
      </c>
      <c r="BW114">
        <v>8319</v>
      </c>
      <c r="BX114">
        <v>8446</v>
      </c>
      <c r="BY114">
        <v>8543</v>
      </c>
      <c r="BZ114">
        <v>8608</v>
      </c>
      <c r="CA114">
        <v>8680</v>
      </c>
      <c r="CB114">
        <v>8718</v>
      </c>
      <c r="CC114">
        <v>8737</v>
      </c>
      <c r="CD114">
        <v>8744</v>
      </c>
      <c r="CE114">
        <v>8749</v>
      </c>
      <c r="CF114">
        <v>8757</v>
      </c>
      <c r="CG114">
        <v>8760</v>
      </c>
      <c r="CH114">
        <v>8760</v>
      </c>
      <c r="CI114">
        <v>8760</v>
      </c>
      <c r="CJ114">
        <v>8760</v>
      </c>
      <c r="CK114">
        <v>8760</v>
      </c>
      <c r="CL114">
        <v>8760</v>
      </c>
      <c r="CM114">
        <v>8760</v>
      </c>
      <c r="CN114">
        <v>8760</v>
      </c>
      <c r="CO114">
        <v>8760</v>
      </c>
      <c r="CP114">
        <v>8760</v>
      </c>
      <c r="CQ114">
        <v>8760</v>
      </c>
      <c r="CR114">
        <v>8760</v>
      </c>
      <c r="CS114">
        <v>8760</v>
      </c>
      <c r="CT114">
        <v>8760</v>
      </c>
      <c r="CU114">
        <v>8760</v>
      </c>
      <c r="CV114">
        <v>8760</v>
      </c>
      <c r="CW114">
        <v>8760</v>
      </c>
      <c r="CX114">
        <v>8760</v>
      </c>
      <c r="CY114">
        <v>8760</v>
      </c>
      <c r="CZ114">
        <v>8760</v>
      </c>
      <c r="DA114">
        <v>8760</v>
      </c>
      <c r="DB114">
        <v>8760</v>
      </c>
    </row>
    <row r="115" spans="1:106" x14ac:dyDescent="0.25">
      <c r="A115" s="13" t="s">
        <v>133</v>
      </c>
      <c r="B115" t="s">
        <v>380</v>
      </c>
      <c r="C115" t="s">
        <v>438</v>
      </c>
      <c r="D115" t="s">
        <v>619</v>
      </c>
      <c r="E115" t="s">
        <v>620</v>
      </c>
      <c r="F115">
        <v>102340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2</v>
      </c>
      <c r="AJ115">
        <v>6</v>
      </c>
      <c r="AK115">
        <v>9</v>
      </c>
      <c r="AL115">
        <v>11</v>
      </c>
      <c r="AM115">
        <v>13</v>
      </c>
      <c r="AN115">
        <v>17</v>
      </c>
      <c r="AO115">
        <v>21</v>
      </c>
      <c r="AP115">
        <v>41</v>
      </c>
      <c r="AQ115">
        <v>75</v>
      </c>
      <c r="AR115">
        <v>99</v>
      </c>
      <c r="AS115">
        <v>135</v>
      </c>
      <c r="AT115">
        <v>187</v>
      </c>
      <c r="AU115">
        <v>228</v>
      </c>
      <c r="AV115">
        <v>286</v>
      </c>
      <c r="AW115">
        <v>362</v>
      </c>
      <c r="AX115">
        <v>456</v>
      </c>
      <c r="AY115">
        <v>567</v>
      </c>
      <c r="AZ115">
        <v>717</v>
      </c>
      <c r="BA115">
        <v>892</v>
      </c>
      <c r="BB115">
        <v>1095</v>
      </c>
      <c r="BC115">
        <v>1359</v>
      </c>
      <c r="BD115">
        <v>1667</v>
      </c>
      <c r="BE115">
        <v>2086</v>
      </c>
      <c r="BF115">
        <v>2480</v>
      </c>
      <c r="BG115">
        <v>2838</v>
      </c>
      <c r="BH115">
        <v>3280</v>
      </c>
      <c r="BI115">
        <v>3688</v>
      </c>
      <c r="BJ115">
        <v>4119</v>
      </c>
      <c r="BK115">
        <v>4514</v>
      </c>
      <c r="BL115">
        <v>4914</v>
      </c>
      <c r="BM115">
        <v>5274</v>
      </c>
      <c r="BN115">
        <v>5595</v>
      </c>
      <c r="BO115">
        <v>5915</v>
      </c>
      <c r="BP115">
        <v>6252</v>
      </c>
      <c r="BQ115">
        <v>6579</v>
      </c>
      <c r="BR115">
        <v>6923</v>
      </c>
      <c r="BS115">
        <v>7201</v>
      </c>
      <c r="BT115">
        <v>7461</v>
      </c>
      <c r="BU115">
        <v>7691</v>
      </c>
      <c r="BV115">
        <v>7903</v>
      </c>
      <c r="BW115">
        <v>8045</v>
      </c>
      <c r="BX115">
        <v>8173</v>
      </c>
      <c r="BY115">
        <v>8292</v>
      </c>
      <c r="BZ115">
        <v>8395</v>
      </c>
      <c r="CA115">
        <v>8474</v>
      </c>
      <c r="CB115">
        <v>8553</v>
      </c>
      <c r="CC115">
        <v>8629</v>
      </c>
      <c r="CD115">
        <v>8675</v>
      </c>
      <c r="CE115">
        <v>8720</v>
      </c>
      <c r="CF115">
        <v>8750</v>
      </c>
      <c r="CG115">
        <v>8756</v>
      </c>
      <c r="CH115">
        <v>8760</v>
      </c>
      <c r="CI115">
        <v>8760</v>
      </c>
      <c r="CJ115">
        <v>8760</v>
      </c>
      <c r="CK115">
        <v>8760</v>
      </c>
      <c r="CL115">
        <v>8760</v>
      </c>
      <c r="CM115">
        <v>8760</v>
      </c>
      <c r="CN115">
        <v>8760</v>
      </c>
      <c r="CO115">
        <v>8760</v>
      </c>
      <c r="CP115">
        <v>8760</v>
      </c>
      <c r="CQ115">
        <v>8760</v>
      </c>
      <c r="CR115">
        <v>8760</v>
      </c>
      <c r="CS115">
        <v>8760</v>
      </c>
      <c r="CT115">
        <v>8760</v>
      </c>
      <c r="CU115">
        <v>8760</v>
      </c>
      <c r="CV115">
        <v>8760</v>
      </c>
      <c r="CW115">
        <v>8760</v>
      </c>
      <c r="CX115">
        <v>8760</v>
      </c>
      <c r="CY115">
        <v>8760</v>
      </c>
      <c r="CZ115">
        <v>8760</v>
      </c>
      <c r="DA115">
        <v>8760</v>
      </c>
      <c r="DB115">
        <v>8760</v>
      </c>
    </row>
    <row r="116" spans="1:106" x14ac:dyDescent="0.25">
      <c r="A116" s="13" t="s">
        <v>134</v>
      </c>
      <c r="B116" t="s">
        <v>381</v>
      </c>
      <c r="C116" t="s">
        <v>438</v>
      </c>
      <c r="D116" t="s">
        <v>621</v>
      </c>
      <c r="E116" t="s">
        <v>622</v>
      </c>
      <c r="F116">
        <v>102125</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9</v>
      </c>
      <c r="AR116">
        <v>17</v>
      </c>
      <c r="AS116">
        <v>37</v>
      </c>
      <c r="AT116">
        <v>62</v>
      </c>
      <c r="AU116">
        <v>94</v>
      </c>
      <c r="AV116">
        <v>122</v>
      </c>
      <c r="AW116">
        <v>149</v>
      </c>
      <c r="AX116">
        <v>181</v>
      </c>
      <c r="AY116">
        <v>254</v>
      </c>
      <c r="AZ116">
        <v>354</v>
      </c>
      <c r="BA116">
        <v>460</v>
      </c>
      <c r="BB116">
        <v>647</v>
      </c>
      <c r="BC116">
        <v>849</v>
      </c>
      <c r="BD116">
        <v>1092</v>
      </c>
      <c r="BE116">
        <v>1528</v>
      </c>
      <c r="BF116">
        <v>1997</v>
      </c>
      <c r="BG116">
        <v>2503</v>
      </c>
      <c r="BH116">
        <v>2998</v>
      </c>
      <c r="BI116">
        <v>3420</v>
      </c>
      <c r="BJ116">
        <v>3821</v>
      </c>
      <c r="BK116">
        <v>4203</v>
      </c>
      <c r="BL116">
        <v>4576</v>
      </c>
      <c r="BM116">
        <v>4897</v>
      </c>
      <c r="BN116">
        <v>5257</v>
      </c>
      <c r="BO116">
        <v>5688</v>
      </c>
      <c r="BP116">
        <v>6109</v>
      </c>
      <c r="BQ116">
        <v>6537</v>
      </c>
      <c r="BR116">
        <v>6874</v>
      </c>
      <c r="BS116">
        <v>7212</v>
      </c>
      <c r="BT116">
        <v>7500</v>
      </c>
      <c r="BU116">
        <v>7781</v>
      </c>
      <c r="BV116">
        <v>8044</v>
      </c>
      <c r="BW116">
        <v>8227</v>
      </c>
      <c r="BX116">
        <v>8358</v>
      </c>
      <c r="BY116">
        <v>8459</v>
      </c>
      <c r="BZ116">
        <v>8546</v>
      </c>
      <c r="CA116">
        <v>8612</v>
      </c>
      <c r="CB116">
        <v>8671</v>
      </c>
      <c r="CC116">
        <v>8725</v>
      </c>
      <c r="CD116">
        <v>8748</v>
      </c>
      <c r="CE116">
        <v>8759</v>
      </c>
      <c r="CF116">
        <v>8760</v>
      </c>
      <c r="CG116">
        <v>8760</v>
      </c>
      <c r="CH116">
        <v>8760</v>
      </c>
      <c r="CI116">
        <v>8760</v>
      </c>
      <c r="CJ116">
        <v>8760</v>
      </c>
      <c r="CK116">
        <v>8760</v>
      </c>
      <c r="CL116">
        <v>8760</v>
      </c>
      <c r="CM116">
        <v>8760</v>
      </c>
      <c r="CN116">
        <v>8760</v>
      </c>
      <c r="CO116">
        <v>8760</v>
      </c>
      <c r="CP116">
        <v>8760</v>
      </c>
      <c r="CQ116">
        <v>8760</v>
      </c>
      <c r="CR116">
        <v>8760</v>
      </c>
      <c r="CS116">
        <v>8760</v>
      </c>
      <c r="CT116">
        <v>8760</v>
      </c>
      <c r="CU116">
        <v>8760</v>
      </c>
      <c r="CV116">
        <v>8760</v>
      </c>
      <c r="CW116">
        <v>8760</v>
      </c>
      <c r="CX116">
        <v>8760</v>
      </c>
      <c r="CY116">
        <v>8760</v>
      </c>
      <c r="CZ116">
        <v>8760</v>
      </c>
      <c r="DA116">
        <v>8760</v>
      </c>
      <c r="DB116">
        <v>8760</v>
      </c>
    </row>
    <row r="117" spans="1:106" x14ac:dyDescent="0.25">
      <c r="A117" s="13" t="s">
        <v>135</v>
      </c>
      <c r="B117" t="s">
        <v>382</v>
      </c>
    </row>
    <row r="118" spans="1:106" x14ac:dyDescent="0.25">
      <c r="A118" s="13" t="s">
        <v>136</v>
      </c>
      <c r="B118" t="s">
        <v>125</v>
      </c>
      <c r="C118" t="s">
        <v>438</v>
      </c>
      <c r="D118" t="s">
        <v>623</v>
      </c>
      <c r="E118" t="s">
        <v>624</v>
      </c>
      <c r="F118">
        <v>102127</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4</v>
      </c>
      <c r="AQ118">
        <v>10</v>
      </c>
      <c r="AR118">
        <v>23</v>
      </c>
      <c r="AS118">
        <v>41</v>
      </c>
      <c r="AT118">
        <v>62</v>
      </c>
      <c r="AU118">
        <v>88</v>
      </c>
      <c r="AV118">
        <v>115</v>
      </c>
      <c r="AW118">
        <v>167</v>
      </c>
      <c r="AX118">
        <v>248</v>
      </c>
      <c r="AY118">
        <v>332</v>
      </c>
      <c r="AZ118">
        <v>442</v>
      </c>
      <c r="BA118">
        <v>582</v>
      </c>
      <c r="BB118">
        <v>805</v>
      </c>
      <c r="BC118">
        <v>1086</v>
      </c>
      <c r="BD118">
        <v>1396</v>
      </c>
      <c r="BE118">
        <v>1850</v>
      </c>
      <c r="BF118">
        <v>2238</v>
      </c>
      <c r="BG118">
        <v>2686</v>
      </c>
      <c r="BH118">
        <v>3178</v>
      </c>
      <c r="BI118">
        <v>3754</v>
      </c>
      <c r="BJ118">
        <v>4103</v>
      </c>
      <c r="BK118">
        <v>4326</v>
      </c>
      <c r="BL118">
        <v>4564</v>
      </c>
      <c r="BM118">
        <v>4846</v>
      </c>
      <c r="BN118">
        <v>5135</v>
      </c>
      <c r="BO118">
        <v>5538</v>
      </c>
      <c r="BP118">
        <v>5947</v>
      </c>
      <c r="BQ118">
        <v>6380</v>
      </c>
      <c r="BR118">
        <v>6787</v>
      </c>
      <c r="BS118">
        <v>7179</v>
      </c>
      <c r="BT118">
        <v>7515</v>
      </c>
      <c r="BU118">
        <v>7803</v>
      </c>
      <c r="BV118">
        <v>8012</v>
      </c>
      <c r="BW118">
        <v>8172</v>
      </c>
      <c r="BX118">
        <v>8307</v>
      </c>
      <c r="BY118">
        <v>8400</v>
      </c>
      <c r="BZ118">
        <v>8483</v>
      </c>
      <c r="CA118">
        <v>8567</v>
      </c>
      <c r="CB118">
        <v>8633</v>
      </c>
      <c r="CC118">
        <v>8676</v>
      </c>
      <c r="CD118">
        <v>8696</v>
      </c>
      <c r="CE118">
        <v>8713</v>
      </c>
      <c r="CF118">
        <v>8731</v>
      </c>
      <c r="CG118">
        <v>8744</v>
      </c>
      <c r="CH118">
        <v>8753</v>
      </c>
      <c r="CI118">
        <v>8760</v>
      </c>
      <c r="CJ118">
        <v>8760</v>
      </c>
      <c r="CK118">
        <v>8760</v>
      </c>
      <c r="CL118">
        <v>8760</v>
      </c>
      <c r="CM118">
        <v>8760</v>
      </c>
      <c r="CN118">
        <v>8760</v>
      </c>
      <c r="CO118">
        <v>8760</v>
      </c>
      <c r="CP118">
        <v>8760</v>
      </c>
      <c r="CQ118">
        <v>8760</v>
      </c>
      <c r="CR118">
        <v>8760</v>
      </c>
      <c r="CS118">
        <v>8760</v>
      </c>
      <c r="CT118">
        <v>8760</v>
      </c>
      <c r="CU118">
        <v>8760</v>
      </c>
      <c r="CV118">
        <v>8760</v>
      </c>
      <c r="CW118">
        <v>8760</v>
      </c>
      <c r="CX118">
        <v>8760</v>
      </c>
      <c r="CY118">
        <v>8760</v>
      </c>
      <c r="CZ118">
        <v>8760</v>
      </c>
      <c r="DA118">
        <v>8760</v>
      </c>
      <c r="DB118">
        <v>8760</v>
      </c>
    </row>
    <row r="119" spans="1:106" x14ac:dyDescent="0.25">
      <c r="A119" s="13" t="s">
        <v>137</v>
      </c>
      <c r="B119" t="s">
        <v>133</v>
      </c>
      <c r="C119" t="s">
        <v>438</v>
      </c>
      <c r="D119" t="s">
        <v>625</v>
      </c>
      <c r="E119" t="s">
        <v>626</v>
      </c>
      <c r="F119">
        <v>102008</v>
      </c>
      <c r="G119">
        <v>0</v>
      </c>
      <c r="H119">
        <v>0</v>
      </c>
      <c r="I119">
        <v>0</v>
      </c>
      <c r="J119">
        <v>0</v>
      </c>
      <c r="K119">
        <v>0</v>
      </c>
      <c r="L119">
        <v>0</v>
      </c>
      <c r="M119">
        <v>0</v>
      </c>
      <c r="N119">
        <v>0</v>
      </c>
      <c r="O119">
        <v>0</v>
      </c>
      <c r="P119">
        <v>0</v>
      </c>
      <c r="Q119">
        <v>0</v>
      </c>
      <c r="R119">
        <v>0</v>
      </c>
      <c r="S119">
        <v>0</v>
      </c>
      <c r="T119">
        <v>0</v>
      </c>
      <c r="U119">
        <v>2</v>
      </c>
      <c r="V119">
        <v>6</v>
      </c>
      <c r="W119">
        <v>11</v>
      </c>
      <c r="X119">
        <v>14</v>
      </c>
      <c r="Y119">
        <v>22</v>
      </c>
      <c r="Z119">
        <v>29</v>
      </c>
      <c r="AA119">
        <v>41</v>
      </c>
      <c r="AB119">
        <v>66</v>
      </c>
      <c r="AC119">
        <v>83</v>
      </c>
      <c r="AD119">
        <v>106</v>
      </c>
      <c r="AE119">
        <v>133</v>
      </c>
      <c r="AF119">
        <v>187</v>
      </c>
      <c r="AG119">
        <v>249</v>
      </c>
      <c r="AH119">
        <v>306</v>
      </c>
      <c r="AI119">
        <v>384</v>
      </c>
      <c r="AJ119">
        <v>454</v>
      </c>
      <c r="AK119">
        <v>522</v>
      </c>
      <c r="AL119">
        <v>597</v>
      </c>
      <c r="AM119">
        <v>676</v>
      </c>
      <c r="AN119">
        <v>775</v>
      </c>
      <c r="AO119">
        <v>892</v>
      </c>
      <c r="AP119">
        <v>1010</v>
      </c>
      <c r="AQ119">
        <v>1108</v>
      </c>
      <c r="AR119">
        <v>1260</v>
      </c>
      <c r="AS119">
        <v>1404</v>
      </c>
      <c r="AT119">
        <v>1573</v>
      </c>
      <c r="AU119">
        <v>1770</v>
      </c>
      <c r="AV119">
        <v>1972</v>
      </c>
      <c r="AW119">
        <v>2160</v>
      </c>
      <c r="AX119">
        <v>2376</v>
      </c>
      <c r="AY119">
        <v>2611</v>
      </c>
      <c r="AZ119">
        <v>2878</v>
      </c>
      <c r="BA119">
        <v>3165</v>
      </c>
      <c r="BB119">
        <v>3473</v>
      </c>
      <c r="BC119">
        <v>3833</v>
      </c>
      <c r="BD119">
        <v>4167</v>
      </c>
      <c r="BE119">
        <v>4520</v>
      </c>
      <c r="BF119">
        <v>4779</v>
      </c>
      <c r="BG119">
        <v>5038</v>
      </c>
      <c r="BH119">
        <v>5317</v>
      </c>
      <c r="BI119">
        <v>5572</v>
      </c>
      <c r="BJ119">
        <v>5858</v>
      </c>
      <c r="BK119">
        <v>6122</v>
      </c>
      <c r="BL119">
        <v>6421</v>
      </c>
      <c r="BM119">
        <v>6695</v>
      </c>
      <c r="BN119">
        <v>6940</v>
      </c>
      <c r="BO119">
        <v>7150</v>
      </c>
      <c r="BP119">
        <v>7350</v>
      </c>
      <c r="BQ119">
        <v>7587</v>
      </c>
      <c r="BR119">
        <v>7803</v>
      </c>
      <c r="BS119">
        <v>8025</v>
      </c>
      <c r="BT119">
        <v>8201</v>
      </c>
      <c r="BU119">
        <v>8350</v>
      </c>
      <c r="BV119">
        <v>8457</v>
      </c>
      <c r="BW119">
        <v>8553</v>
      </c>
      <c r="BX119">
        <v>8639</v>
      </c>
      <c r="BY119">
        <v>8700</v>
      </c>
      <c r="BZ119">
        <v>8731</v>
      </c>
      <c r="CA119">
        <v>8744</v>
      </c>
      <c r="CB119">
        <v>8754</v>
      </c>
      <c r="CC119">
        <v>8760</v>
      </c>
      <c r="CD119">
        <v>8760</v>
      </c>
      <c r="CE119">
        <v>8760</v>
      </c>
      <c r="CF119">
        <v>8760</v>
      </c>
      <c r="CG119">
        <v>8760</v>
      </c>
      <c r="CH119">
        <v>8760</v>
      </c>
      <c r="CI119">
        <v>8760</v>
      </c>
      <c r="CJ119">
        <v>8760</v>
      </c>
      <c r="CK119">
        <v>8760</v>
      </c>
      <c r="CL119">
        <v>8760</v>
      </c>
      <c r="CM119">
        <v>8760</v>
      </c>
      <c r="CN119">
        <v>8760</v>
      </c>
      <c r="CO119">
        <v>8760</v>
      </c>
      <c r="CP119">
        <v>8760</v>
      </c>
      <c r="CQ119">
        <v>8760</v>
      </c>
      <c r="CR119">
        <v>8760</v>
      </c>
      <c r="CS119">
        <v>8760</v>
      </c>
      <c r="CT119">
        <v>8760</v>
      </c>
      <c r="CU119">
        <v>8760</v>
      </c>
      <c r="CV119">
        <v>8760</v>
      </c>
      <c r="CW119">
        <v>8760</v>
      </c>
      <c r="CX119">
        <v>8760</v>
      </c>
      <c r="CY119">
        <v>8760</v>
      </c>
      <c r="CZ119">
        <v>8760</v>
      </c>
      <c r="DA119">
        <v>8760</v>
      </c>
      <c r="DB119">
        <v>8760</v>
      </c>
    </row>
    <row r="120" spans="1:106" x14ac:dyDescent="0.25">
      <c r="A120" s="13" t="s">
        <v>138</v>
      </c>
      <c r="B120" t="s">
        <v>135</v>
      </c>
      <c r="C120" t="s">
        <v>438</v>
      </c>
      <c r="D120" t="s">
        <v>627</v>
      </c>
      <c r="E120" t="s">
        <v>628</v>
      </c>
      <c r="F120">
        <v>102815</v>
      </c>
      <c r="G120">
        <v>0</v>
      </c>
      <c r="H120">
        <v>0</v>
      </c>
      <c r="I120">
        <v>0</v>
      </c>
      <c r="J120">
        <v>0</v>
      </c>
      <c r="K120">
        <v>0</v>
      </c>
      <c r="L120">
        <v>0</v>
      </c>
      <c r="M120">
        <v>0</v>
      </c>
      <c r="N120">
        <v>0</v>
      </c>
      <c r="O120">
        <v>0</v>
      </c>
      <c r="P120">
        <v>0</v>
      </c>
      <c r="Q120">
        <v>0</v>
      </c>
      <c r="R120">
        <v>0</v>
      </c>
      <c r="S120">
        <v>0</v>
      </c>
      <c r="T120">
        <v>0</v>
      </c>
      <c r="U120">
        <v>0</v>
      </c>
      <c r="V120">
        <v>0</v>
      </c>
      <c r="W120">
        <v>0</v>
      </c>
      <c r="X120">
        <v>5</v>
      </c>
      <c r="Y120">
        <v>12</v>
      </c>
      <c r="Z120">
        <v>19</v>
      </c>
      <c r="AA120">
        <v>22</v>
      </c>
      <c r="AB120">
        <v>26</v>
      </c>
      <c r="AC120">
        <v>42</v>
      </c>
      <c r="AD120">
        <v>63</v>
      </c>
      <c r="AE120">
        <v>85</v>
      </c>
      <c r="AF120">
        <v>110</v>
      </c>
      <c r="AG120">
        <v>148</v>
      </c>
      <c r="AH120">
        <v>177</v>
      </c>
      <c r="AI120">
        <v>203</v>
      </c>
      <c r="AJ120">
        <v>254</v>
      </c>
      <c r="AK120">
        <v>284</v>
      </c>
      <c r="AL120">
        <v>315</v>
      </c>
      <c r="AM120">
        <v>372</v>
      </c>
      <c r="AN120">
        <v>435</v>
      </c>
      <c r="AO120">
        <v>513</v>
      </c>
      <c r="AP120">
        <v>618</v>
      </c>
      <c r="AQ120">
        <v>739</v>
      </c>
      <c r="AR120">
        <v>826</v>
      </c>
      <c r="AS120">
        <v>939</v>
      </c>
      <c r="AT120">
        <v>1028</v>
      </c>
      <c r="AU120">
        <v>1137</v>
      </c>
      <c r="AV120">
        <v>1253</v>
      </c>
      <c r="AW120">
        <v>1399</v>
      </c>
      <c r="AX120">
        <v>1608</v>
      </c>
      <c r="AY120">
        <v>1839</v>
      </c>
      <c r="AZ120">
        <v>2094</v>
      </c>
      <c r="BA120">
        <v>2400</v>
      </c>
      <c r="BB120">
        <v>2733</v>
      </c>
      <c r="BC120">
        <v>3028</v>
      </c>
      <c r="BD120">
        <v>3396</v>
      </c>
      <c r="BE120">
        <v>3773</v>
      </c>
      <c r="BF120">
        <v>4104</v>
      </c>
      <c r="BG120">
        <v>4429</v>
      </c>
      <c r="BH120">
        <v>4691</v>
      </c>
      <c r="BI120">
        <v>4962</v>
      </c>
      <c r="BJ120">
        <v>5298</v>
      </c>
      <c r="BK120">
        <v>5593</v>
      </c>
      <c r="BL120">
        <v>5863</v>
      </c>
      <c r="BM120">
        <v>6180</v>
      </c>
      <c r="BN120">
        <v>6507</v>
      </c>
      <c r="BO120">
        <v>6811</v>
      </c>
      <c r="BP120">
        <v>7083</v>
      </c>
      <c r="BQ120">
        <v>7394</v>
      </c>
      <c r="BR120">
        <v>7654</v>
      </c>
      <c r="BS120">
        <v>7875</v>
      </c>
      <c r="BT120">
        <v>8092</v>
      </c>
      <c r="BU120">
        <v>8256</v>
      </c>
      <c r="BV120">
        <v>8401</v>
      </c>
      <c r="BW120">
        <v>8491</v>
      </c>
      <c r="BX120">
        <v>8575</v>
      </c>
      <c r="BY120">
        <v>8635</v>
      </c>
      <c r="BZ120">
        <v>8683</v>
      </c>
      <c r="CA120">
        <v>8719</v>
      </c>
      <c r="CB120">
        <v>8747</v>
      </c>
      <c r="CC120">
        <v>8760</v>
      </c>
      <c r="CD120">
        <v>8760</v>
      </c>
      <c r="CE120">
        <v>8760</v>
      </c>
      <c r="CF120">
        <v>8760</v>
      </c>
      <c r="CG120">
        <v>8760</v>
      </c>
      <c r="CH120">
        <v>8760</v>
      </c>
      <c r="CI120">
        <v>8760</v>
      </c>
      <c r="CJ120">
        <v>8760</v>
      </c>
      <c r="CK120">
        <v>8760</v>
      </c>
      <c r="CL120">
        <v>8760</v>
      </c>
      <c r="CM120">
        <v>8760</v>
      </c>
      <c r="CN120">
        <v>8760</v>
      </c>
      <c r="CO120">
        <v>8760</v>
      </c>
      <c r="CP120">
        <v>8760</v>
      </c>
      <c r="CQ120">
        <v>8760</v>
      </c>
      <c r="CR120">
        <v>8760</v>
      </c>
      <c r="CS120">
        <v>8760</v>
      </c>
      <c r="CT120">
        <v>8760</v>
      </c>
      <c r="CU120">
        <v>8760</v>
      </c>
      <c r="CV120">
        <v>8760</v>
      </c>
      <c r="CW120">
        <v>8760</v>
      </c>
      <c r="CX120">
        <v>8760</v>
      </c>
      <c r="CY120">
        <v>8760</v>
      </c>
      <c r="CZ120">
        <v>8760</v>
      </c>
      <c r="DA120">
        <v>8760</v>
      </c>
      <c r="DB120">
        <v>8760</v>
      </c>
    </row>
    <row r="121" spans="1:106" x14ac:dyDescent="0.25">
      <c r="A121" s="13" t="s">
        <v>139</v>
      </c>
      <c r="B121" t="s">
        <v>383</v>
      </c>
      <c r="C121" t="s">
        <v>438</v>
      </c>
      <c r="D121" t="s">
        <v>629</v>
      </c>
      <c r="E121" t="s">
        <v>630</v>
      </c>
      <c r="F121">
        <v>102626</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6</v>
      </c>
      <c r="AP121">
        <v>12</v>
      </c>
      <c r="AQ121">
        <v>23</v>
      </c>
      <c r="AR121">
        <v>43</v>
      </c>
      <c r="AS121">
        <v>71</v>
      </c>
      <c r="AT121">
        <v>101</v>
      </c>
      <c r="AU121">
        <v>153</v>
      </c>
      <c r="AV121">
        <v>214</v>
      </c>
      <c r="AW121">
        <v>308</v>
      </c>
      <c r="AX121">
        <v>401</v>
      </c>
      <c r="AY121">
        <v>531</v>
      </c>
      <c r="AZ121">
        <v>679</v>
      </c>
      <c r="BA121">
        <v>807</v>
      </c>
      <c r="BB121">
        <v>1014</v>
      </c>
      <c r="BC121">
        <v>1270</v>
      </c>
      <c r="BD121">
        <v>1597</v>
      </c>
      <c r="BE121">
        <v>2101</v>
      </c>
      <c r="BF121">
        <v>2556</v>
      </c>
      <c r="BG121">
        <v>2976</v>
      </c>
      <c r="BH121">
        <v>3328</v>
      </c>
      <c r="BI121">
        <v>3753</v>
      </c>
      <c r="BJ121">
        <v>4200</v>
      </c>
      <c r="BK121">
        <v>4564</v>
      </c>
      <c r="BL121">
        <v>4888</v>
      </c>
      <c r="BM121">
        <v>5168</v>
      </c>
      <c r="BN121">
        <v>5465</v>
      </c>
      <c r="BO121">
        <v>5742</v>
      </c>
      <c r="BP121">
        <v>6078</v>
      </c>
      <c r="BQ121">
        <v>6402</v>
      </c>
      <c r="BR121">
        <v>6771</v>
      </c>
      <c r="BS121">
        <v>7177</v>
      </c>
      <c r="BT121">
        <v>7465</v>
      </c>
      <c r="BU121">
        <v>7749</v>
      </c>
      <c r="BV121">
        <v>7990</v>
      </c>
      <c r="BW121">
        <v>8178</v>
      </c>
      <c r="BX121">
        <v>8325</v>
      </c>
      <c r="BY121">
        <v>8457</v>
      </c>
      <c r="BZ121">
        <v>8569</v>
      </c>
      <c r="CA121">
        <v>8632</v>
      </c>
      <c r="CB121">
        <v>8683</v>
      </c>
      <c r="CC121">
        <v>8712</v>
      </c>
      <c r="CD121">
        <v>8735</v>
      </c>
      <c r="CE121">
        <v>8742</v>
      </c>
      <c r="CF121">
        <v>8748</v>
      </c>
      <c r="CG121">
        <v>8753</v>
      </c>
      <c r="CH121">
        <v>8757</v>
      </c>
      <c r="CI121">
        <v>8760</v>
      </c>
      <c r="CJ121">
        <v>8760</v>
      </c>
      <c r="CK121">
        <v>8760</v>
      </c>
      <c r="CL121">
        <v>8760</v>
      </c>
      <c r="CM121">
        <v>8760</v>
      </c>
      <c r="CN121">
        <v>8760</v>
      </c>
      <c r="CO121">
        <v>8760</v>
      </c>
      <c r="CP121">
        <v>8760</v>
      </c>
      <c r="CQ121">
        <v>8760</v>
      </c>
      <c r="CR121">
        <v>8760</v>
      </c>
      <c r="CS121">
        <v>8760</v>
      </c>
      <c r="CT121">
        <v>8760</v>
      </c>
      <c r="CU121">
        <v>8760</v>
      </c>
      <c r="CV121">
        <v>8760</v>
      </c>
      <c r="CW121">
        <v>8760</v>
      </c>
      <c r="CX121">
        <v>8760</v>
      </c>
      <c r="CY121">
        <v>8760</v>
      </c>
      <c r="CZ121">
        <v>8760</v>
      </c>
      <c r="DA121">
        <v>8760</v>
      </c>
      <c r="DB121">
        <v>8760</v>
      </c>
    </row>
    <row r="122" spans="1:106" x14ac:dyDescent="0.25">
      <c r="A122" s="13" t="s">
        <v>140</v>
      </c>
      <c r="B122" t="s">
        <v>385</v>
      </c>
    </row>
    <row r="123" spans="1:106" x14ac:dyDescent="0.25">
      <c r="A123" s="13" t="s">
        <v>141</v>
      </c>
      <c r="B123" t="s">
        <v>384</v>
      </c>
      <c r="C123" t="s">
        <v>438</v>
      </c>
      <c r="D123" t="s">
        <v>631</v>
      </c>
      <c r="E123" t="s">
        <v>632</v>
      </c>
      <c r="F123">
        <v>102320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3</v>
      </c>
      <c r="AM123">
        <v>16</v>
      </c>
      <c r="AN123">
        <v>23</v>
      </c>
      <c r="AO123">
        <v>34</v>
      </c>
      <c r="AP123">
        <v>45</v>
      </c>
      <c r="AQ123">
        <v>63</v>
      </c>
      <c r="AR123">
        <v>79</v>
      </c>
      <c r="AS123">
        <v>116</v>
      </c>
      <c r="AT123">
        <v>173</v>
      </c>
      <c r="AU123">
        <v>226</v>
      </c>
      <c r="AV123">
        <v>287</v>
      </c>
      <c r="AW123">
        <v>376</v>
      </c>
      <c r="AX123">
        <v>506</v>
      </c>
      <c r="AY123">
        <v>671</v>
      </c>
      <c r="AZ123">
        <v>813</v>
      </c>
      <c r="BA123">
        <v>979</v>
      </c>
      <c r="BB123">
        <v>1210</v>
      </c>
      <c r="BC123">
        <v>1505</v>
      </c>
      <c r="BD123">
        <v>1870</v>
      </c>
      <c r="BE123">
        <v>2214</v>
      </c>
      <c r="BF123">
        <v>2565</v>
      </c>
      <c r="BG123">
        <v>2917</v>
      </c>
      <c r="BH123">
        <v>3329</v>
      </c>
      <c r="BI123">
        <v>3746</v>
      </c>
      <c r="BJ123">
        <v>4146</v>
      </c>
      <c r="BK123">
        <v>4541</v>
      </c>
      <c r="BL123">
        <v>4949</v>
      </c>
      <c r="BM123">
        <v>5335</v>
      </c>
      <c r="BN123">
        <v>5752</v>
      </c>
      <c r="BO123">
        <v>6166</v>
      </c>
      <c r="BP123">
        <v>6516</v>
      </c>
      <c r="BQ123">
        <v>6896</v>
      </c>
      <c r="BR123">
        <v>7262</v>
      </c>
      <c r="BS123">
        <v>7593</v>
      </c>
      <c r="BT123">
        <v>7859</v>
      </c>
      <c r="BU123">
        <v>8072</v>
      </c>
      <c r="BV123">
        <v>8242</v>
      </c>
      <c r="BW123">
        <v>8382</v>
      </c>
      <c r="BX123">
        <v>8486</v>
      </c>
      <c r="BY123">
        <v>8571</v>
      </c>
      <c r="BZ123">
        <v>8642</v>
      </c>
      <c r="CA123">
        <v>8681</v>
      </c>
      <c r="CB123">
        <v>8702</v>
      </c>
      <c r="CC123">
        <v>8724</v>
      </c>
      <c r="CD123">
        <v>8737</v>
      </c>
      <c r="CE123">
        <v>8753</v>
      </c>
      <c r="CF123">
        <v>8759</v>
      </c>
      <c r="CG123">
        <v>8760</v>
      </c>
      <c r="CH123">
        <v>8760</v>
      </c>
      <c r="CI123">
        <v>8760</v>
      </c>
      <c r="CJ123">
        <v>8760</v>
      </c>
      <c r="CK123">
        <v>8760</v>
      </c>
      <c r="CL123">
        <v>8760</v>
      </c>
      <c r="CM123">
        <v>8760</v>
      </c>
      <c r="CN123">
        <v>8760</v>
      </c>
      <c r="CO123">
        <v>8760</v>
      </c>
      <c r="CP123">
        <v>8760</v>
      </c>
      <c r="CQ123">
        <v>8760</v>
      </c>
      <c r="CR123">
        <v>8760</v>
      </c>
      <c r="CS123">
        <v>8760</v>
      </c>
      <c r="CT123">
        <v>8760</v>
      </c>
      <c r="CU123">
        <v>8760</v>
      </c>
      <c r="CV123">
        <v>8760</v>
      </c>
      <c r="CW123">
        <v>8760</v>
      </c>
      <c r="CX123">
        <v>8760</v>
      </c>
      <c r="CY123">
        <v>8760</v>
      </c>
      <c r="CZ123">
        <v>8760</v>
      </c>
      <c r="DA123">
        <v>8760</v>
      </c>
      <c r="DB123">
        <v>8760</v>
      </c>
    </row>
    <row r="124" spans="1:106" x14ac:dyDescent="0.25">
      <c r="A124" s="13" t="s">
        <v>142</v>
      </c>
      <c r="B124" t="s">
        <v>136</v>
      </c>
      <c r="C124" t="s">
        <v>438</v>
      </c>
      <c r="D124" t="s">
        <v>633</v>
      </c>
      <c r="E124" t="s">
        <v>634</v>
      </c>
      <c r="F124">
        <v>102017</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5</v>
      </c>
      <c r="AC124">
        <v>10</v>
      </c>
      <c r="AD124">
        <v>23</v>
      </c>
      <c r="AE124">
        <v>44</v>
      </c>
      <c r="AF124">
        <v>63</v>
      </c>
      <c r="AG124">
        <v>76</v>
      </c>
      <c r="AH124">
        <v>101</v>
      </c>
      <c r="AI124">
        <v>125</v>
      </c>
      <c r="AJ124">
        <v>170</v>
      </c>
      <c r="AK124">
        <v>224</v>
      </c>
      <c r="AL124">
        <v>270</v>
      </c>
      <c r="AM124">
        <v>321</v>
      </c>
      <c r="AN124">
        <v>384</v>
      </c>
      <c r="AO124">
        <v>463</v>
      </c>
      <c r="AP124">
        <v>569</v>
      </c>
      <c r="AQ124">
        <v>679</v>
      </c>
      <c r="AR124">
        <v>791</v>
      </c>
      <c r="AS124">
        <v>928</v>
      </c>
      <c r="AT124">
        <v>1093</v>
      </c>
      <c r="AU124">
        <v>1252</v>
      </c>
      <c r="AV124">
        <v>1418</v>
      </c>
      <c r="AW124">
        <v>1615</v>
      </c>
      <c r="AX124">
        <v>1819</v>
      </c>
      <c r="AY124">
        <v>2031</v>
      </c>
      <c r="AZ124">
        <v>2270</v>
      </c>
      <c r="BA124">
        <v>2565</v>
      </c>
      <c r="BB124">
        <v>2937</v>
      </c>
      <c r="BC124">
        <v>3287</v>
      </c>
      <c r="BD124">
        <v>3712</v>
      </c>
      <c r="BE124">
        <v>4169</v>
      </c>
      <c r="BF124">
        <v>4530</v>
      </c>
      <c r="BG124">
        <v>4855</v>
      </c>
      <c r="BH124">
        <v>5078</v>
      </c>
      <c r="BI124">
        <v>5276</v>
      </c>
      <c r="BJ124">
        <v>5515</v>
      </c>
      <c r="BK124">
        <v>5756</v>
      </c>
      <c r="BL124">
        <v>6012</v>
      </c>
      <c r="BM124">
        <v>6249</v>
      </c>
      <c r="BN124">
        <v>6518</v>
      </c>
      <c r="BO124">
        <v>6729</v>
      </c>
      <c r="BP124">
        <v>6970</v>
      </c>
      <c r="BQ124">
        <v>7256</v>
      </c>
      <c r="BR124">
        <v>7514</v>
      </c>
      <c r="BS124">
        <v>7772</v>
      </c>
      <c r="BT124">
        <v>8021</v>
      </c>
      <c r="BU124">
        <v>8233</v>
      </c>
      <c r="BV124">
        <v>8387</v>
      </c>
      <c r="BW124">
        <v>8514</v>
      </c>
      <c r="BX124">
        <v>8593</v>
      </c>
      <c r="BY124">
        <v>8644</v>
      </c>
      <c r="BZ124">
        <v>8685</v>
      </c>
      <c r="CA124">
        <v>8711</v>
      </c>
      <c r="CB124">
        <v>8736</v>
      </c>
      <c r="CC124">
        <v>8749</v>
      </c>
      <c r="CD124">
        <v>8759</v>
      </c>
      <c r="CE124">
        <v>8760</v>
      </c>
      <c r="CF124">
        <v>8760</v>
      </c>
      <c r="CG124">
        <v>8760</v>
      </c>
      <c r="CH124">
        <v>8760</v>
      </c>
      <c r="CI124">
        <v>8760</v>
      </c>
      <c r="CJ124">
        <v>8760</v>
      </c>
      <c r="CK124">
        <v>8760</v>
      </c>
      <c r="CL124">
        <v>8760</v>
      </c>
      <c r="CM124">
        <v>8760</v>
      </c>
      <c r="CN124">
        <v>8760</v>
      </c>
      <c r="CO124">
        <v>8760</v>
      </c>
      <c r="CP124">
        <v>8760</v>
      </c>
      <c r="CQ124">
        <v>8760</v>
      </c>
      <c r="CR124">
        <v>8760</v>
      </c>
      <c r="CS124">
        <v>8760</v>
      </c>
      <c r="CT124">
        <v>8760</v>
      </c>
      <c r="CU124">
        <v>8760</v>
      </c>
      <c r="CV124">
        <v>8760</v>
      </c>
      <c r="CW124">
        <v>8760</v>
      </c>
      <c r="CX124">
        <v>8760</v>
      </c>
      <c r="CY124">
        <v>8760</v>
      </c>
      <c r="CZ124">
        <v>8760</v>
      </c>
      <c r="DA124">
        <v>8760</v>
      </c>
      <c r="DB124">
        <v>8760</v>
      </c>
    </row>
    <row r="125" spans="1:106" x14ac:dyDescent="0.25">
      <c r="A125" s="13" t="s">
        <v>143</v>
      </c>
      <c r="B125" t="s">
        <v>390</v>
      </c>
    </row>
    <row r="126" spans="1:106" x14ac:dyDescent="0.25">
      <c r="A126" s="13" t="s">
        <v>144</v>
      </c>
      <c r="B126" t="s">
        <v>137</v>
      </c>
      <c r="C126" t="s">
        <v>438</v>
      </c>
      <c r="D126" t="s">
        <v>635</v>
      </c>
      <c r="E126" t="s">
        <v>636</v>
      </c>
      <c r="F126">
        <v>102307</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2</v>
      </c>
      <c r="AQ126">
        <v>10</v>
      </c>
      <c r="AR126">
        <v>18</v>
      </c>
      <c r="AS126">
        <v>27</v>
      </c>
      <c r="AT126">
        <v>47</v>
      </c>
      <c r="AU126">
        <v>72</v>
      </c>
      <c r="AV126">
        <v>99</v>
      </c>
      <c r="AW126">
        <v>135</v>
      </c>
      <c r="AX126">
        <v>178</v>
      </c>
      <c r="AY126">
        <v>233</v>
      </c>
      <c r="AZ126">
        <v>295</v>
      </c>
      <c r="BA126">
        <v>400</v>
      </c>
      <c r="BB126">
        <v>557</v>
      </c>
      <c r="BC126">
        <v>799</v>
      </c>
      <c r="BD126">
        <v>1073</v>
      </c>
      <c r="BE126">
        <v>1449</v>
      </c>
      <c r="BF126">
        <v>1903</v>
      </c>
      <c r="BG126">
        <v>2356</v>
      </c>
      <c r="BH126">
        <v>2881</v>
      </c>
      <c r="BI126">
        <v>3347</v>
      </c>
      <c r="BJ126">
        <v>3784</v>
      </c>
      <c r="BK126">
        <v>4150</v>
      </c>
      <c r="BL126">
        <v>4492</v>
      </c>
      <c r="BM126">
        <v>4803</v>
      </c>
      <c r="BN126">
        <v>5134</v>
      </c>
      <c r="BO126">
        <v>5494</v>
      </c>
      <c r="BP126">
        <v>5854</v>
      </c>
      <c r="BQ126">
        <v>6261</v>
      </c>
      <c r="BR126">
        <v>6677</v>
      </c>
      <c r="BS126">
        <v>7064</v>
      </c>
      <c r="BT126">
        <v>7389</v>
      </c>
      <c r="BU126">
        <v>7674</v>
      </c>
      <c r="BV126">
        <v>7954</v>
      </c>
      <c r="BW126">
        <v>8192</v>
      </c>
      <c r="BX126">
        <v>8366</v>
      </c>
      <c r="BY126">
        <v>8480</v>
      </c>
      <c r="BZ126">
        <v>8548</v>
      </c>
      <c r="CA126">
        <v>8599</v>
      </c>
      <c r="CB126">
        <v>8647</v>
      </c>
      <c r="CC126">
        <v>8688</v>
      </c>
      <c r="CD126">
        <v>8722</v>
      </c>
      <c r="CE126">
        <v>8753</v>
      </c>
      <c r="CF126">
        <v>8759</v>
      </c>
      <c r="CG126">
        <v>8760</v>
      </c>
      <c r="CH126">
        <v>8760</v>
      </c>
      <c r="CI126">
        <v>8760</v>
      </c>
      <c r="CJ126">
        <v>8760</v>
      </c>
      <c r="CK126">
        <v>8760</v>
      </c>
      <c r="CL126">
        <v>8760</v>
      </c>
      <c r="CM126">
        <v>8760</v>
      </c>
      <c r="CN126">
        <v>8760</v>
      </c>
      <c r="CO126">
        <v>8760</v>
      </c>
      <c r="CP126">
        <v>8760</v>
      </c>
      <c r="CQ126">
        <v>8760</v>
      </c>
      <c r="CR126">
        <v>8760</v>
      </c>
      <c r="CS126">
        <v>8760</v>
      </c>
      <c r="CT126">
        <v>8760</v>
      </c>
      <c r="CU126">
        <v>8760</v>
      </c>
      <c r="CV126">
        <v>8760</v>
      </c>
      <c r="CW126">
        <v>8760</v>
      </c>
      <c r="CX126">
        <v>8760</v>
      </c>
      <c r="CY126">
        <v>8760</v>
      </c>
      <c r="CZ126">
        <v>8760</v>
      </c>
      <c r="DA126">
        <v>8760</v>
      </c>
      <c r="DB126">
        <v>8760</v>
      </c>
    </row>
    <row r="127" spans="1:106" x14ac:dyDescent="0.25">
      <c r="A127" s="13" t="s">
        <v>145</v>
      </c>
      <c r="B127" t="s">
        <v>138</v>
      </c>
      <c r="C127" t="s">
        <v>438</v>
      </c>
      <c r="D127" t="s">
        <v>637</v>
      </c>
      <c r="E127" t="s">
        <v>638</v>
      </c>
      <c r="F127">
        <v>102016</v>
      </c>
      <c r="G127">
        <v>0</v>
      </c>
      <c r="H127">
        <v>0</v>
      </c>
      <c r="I127">
        <v>0</v>
      </c>
      <c r="J127">
        <v>0</v>
      </c>
      <c r="K127">
        <v>0</v>
      </c>
      <c r="L127">
        <v>0</v>
      </c>
      <c r="M127">
        <v>0</v>
      </c>
      <c r="N127">
        <v>0</v>
      </c>
      <c r="O127">
        <v>0</v>
      </c>
      <c r="P127">
        <v>0</v>
      </c>
      <c r="Q127">
        <v>0</v>
      </c>
      <c r="R127">
        <v>0</v>
      </c>
      <c r="S127">
        <v>0</v>
      </c>
      <c r="T127">
        <v>0</v>
      </c>
      <c r="U127">
        <v>2</v>
      </c>
      <c r="V127">
        <v>20</v>
      </c>
      <c r="W127">
        <v>33</v>
      </c>
      <c r="X127">
        <v>58</v>
      </c>
      <c r="Y127">
        <v>92</v>
      </c>
      <c r="Z127">
        <v>120</v>
      </c>
      <c r="AA127">
        <v>143</v>
      </c>
      <c r="AB127">
        <v>161</v>
      </c>
      <c r="AC127">
        <v>189</v>
      </c>
      <c r="AD127">
        <v>220</v>
      </c>
      <c r="AE127">
        <v>261</v>
      </c>
      <c r="AF127">
        <v>299</v>
      </c>
      <c r="AG127">
        <v>356</v>
      </c>
      <c r="AH127">
        <v>418</v>
      </c>
      <c r="AI127">
        <v>474</v>
      </c>
      <c r="AJ127">
        <v>559</v>
      </c>
      <c r="AK127">
        <v>653</v>
      </c>
      <c r="AL127">
        <v>749</v>
      </c>
      <c r="AM127">
        <v>848</v>
      </c>
      <c r="AN127">
        <v>945</v>
      </c>
      <c r="AO127">
        <v>1062</v>
      </c>
      <c r="AP127">
        <v>1206</v>
      </c>
      <c r="AQ127">
        <v>1346</v>
      </c>
      <c r="AR127">
        <v>1513</v>
      </c>
      <c r="AS127">
        <v>1721</v>
      </c>
      <c r="AT127">
        <v>1918</v>
      </c>
      <c r="AU127">
        <v>2119</v>
      </c>
      <c r="AV127">
        <v>2341</v>
      </c>
      <c r="AW127">
        <v>2586</v>
      </c>
      <c r="AX127">
        <v>2809</v>
      </c>
      <c r="AY127">
        <v>2999</v>
      </c>
      <c r="AZ127">
        <v>3261</v>
      </c>
      <c r="BA127">
        <v>3508</v>
      </c>
      <c r="BB127">
        <v>3829</v>
      </c>
      <c r="BC127">
        <v>4093</v>
      </c>
      <c r="BD127">
        <v>4402</v>
      </c>
      <c r="BE127">
        <v>4772</v>
      </c>
      <c r="BF127">
        <v>5121</v>
      </c>
      <c r="BG127">
        <v>5426</v>
      </c>
      <c r="BH127">
        <v>5727</v>
      </c>
      <c r="BI127">
        <v>6018</v>
      </c>
      <c r="BJ127">
        <v>6316</v>
      </c>
      <c r="BK127">
        <v>6579</v>
      </c>
      <c r="BL127">
        <v>6814</v>
      </c>
      <c r="BM127">
        <v>7049</v>
      </c>
      <c r="BN127">
        <v>7282</v>
      </c>
      <c r="BO127">
        <v>7499</v>
      </c>
      <c r="BP127">
        <v>7737</v>
      </c>
      <c r="BQ127">
        <v>7965</v>
      </c>
      <c r="BR127">
        <v>8162</v>
      </c>
      <c r="BS127">
        <v>8309</v>
      </c>
      <c r="BT127">
        <v>8444</v>
      </c>
      <c r="BU127">
        <v>8548</v>
      </c>
      <c r="BV127">
        <v>8618</v>
      </c>
      <c r="BW127">
        <v>8676</v>
      </c>
      <c r="BX127">
        <v>8716</v>
      </c>
      <c r="BY127">
        <v>8737</v>
      </c>
      <c r="BZ127">
        <v>8743</v>
      </c>
      <c r="CA127">
        <v>8750</v>
      </c>
      <c r="CB127">
        <v>8755</v>
      </c>
      <c r="CC127">
        <v>8758</v>
      </c>
      <c r="CD127">
        <v>8759</v>
      </c>
      <c r="CE127">
        <v>8760</v>
      </c>
      <c r="CF127">
        <v>8760</v>
      </c>
      <c r="CG127">
        <v>8760</v>
      </c>
      <c r="CH127">
        <v>8760</v>
      </c>
      <c r="CI127">
        <v>8760</v>
      </c>
      <c r="CJ127">
        <v>8760</v>
      </c>
      <c r="CK127">
        <v>8760</v>
      </c>
      <c r="CL127">
        <v>8760</v>
      </c>
      <c r="CM127">
        <v>8760</v>
      </c>
      <c r="CN127">
        <v>8760</v>
      </c>
      <c r="CO127">
        <v>8760</v>
      </c>
      <c r="CP127">
        <v>8760</v>
      </c>
      <c r="CQ127">
        <v>8760</v>
      </c>
      <c r="CR127">
        <v>8760</v>
      </c>
      <c r="CS127">
        <v>8760</v>
      </c>
      <c r="CT127">
        <v>8760</v>
      </c>
      <c r="CU127">
        <v>8760</v>
      </c>
      <c r="CV127">
        <v>8760</v>
      </c>
      <c r="CW127">
        <v>8760</v>
      </c>
      <c r="CX127">
        <v>8760</v>
      </c>
      <c r="CY127">
        <v>8760</v>
      </c>
      <c r="CZ127">
        <v>8760</v>
      </c>
      <c r="DA127">
        <v>8760</v>
      </c>
      <c r="DB127">
        <v>8760</v>
      </c>
    </row>
    <row r="128" spans="1:106" x14ac:dyDescent="0.25">
      <c r="A128" s="13" t="s">
        <v>146</v>
      </c>
      <c r="B128" t="s">
        <v>139</v>
      </c>
      <c r="C128" t="s">
        <v>438</v>
      </c>
      <c r="D128" t="s">
        <v>639</v>
      </c>
      <c r="E128" t="s">
        <v>640</v>
      </c>
      <c r="F128">
        <v>102218</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4</v>
      </c>
      <c r="AK128">
        <v>5</v>
      </c>
      <c r="AL128">
        <v>15</v>
      </c>
      <c r="AM128">
        <v>22</v>
      </c>
      <c r="AN128">
        <v>26</v>
      </c>
      <c r="AO128">
        <v>39</v>
      </c>
      <c r="AP128">
        <v>41</v>
      </c>
      <c r="AQ128">
        <v>47</v>
      </c>
      <c r="AR128">
        <v>67</v>
      </c>
      <c r="AS128">
        <v>92</v>
      </c>
      <c r="AT128">
        <v>117</v>
      </c>
      <c r="AU128">
        <v>151</v>
      </c>
      <c r="AV128">
        <v>187</v>
      </c>
      <c r="AW128">
        <v>273</v>
      </c>
      <c r="AX128">
        <v>375</v>
      </c>
      <c r="AY128">
        <v>481</v>
      </c>
      <c r="AZ128">
        <v>594</v>
      </c>
      <c r="BA128">
        <v>744</v>
      </c>
      <c r="BB128">
        <v>1003</v>
      </c>
      <c r="BC128">
        <v>1370</v>
      </c>
      <c r="BD128">
        <v>1824</v>
      </c>
      <c r="BE128">
        <v>2287</v>
      </c>
      <c r="BF128">
        <v>2766</v>
      </c>
      <c r="BG128">
        <v>3144</v>
      </c>
      <c r="BH128">
        <v>3529</v>
      </c>
      <c r="BI128">
        <v>3891</v>
      </c>
      <c r="BJ128">
        <v>4190</v>
      </c>
      <c r="BK128">
        <v>4511</v>
      </c>
      <c r="BL128">
        <v>4848</v>
      </c>
      <c r="BM128">
        <v>5141</v>
      </c>
      <c r="BN128">
        <v>5486</v>
      </c>
      <c r="BO128">
        <v>5846</v>
      </c>
      <c r="BP128">
        <v>6257</v>
      </c>
      <c r="BQ128">
        <v>6637</v>
      </c>
      <c r="BR128">
        <v>7004</v>
      </c>
      <c r="BS128">
        <v>7386</v>
      </c>
      <c r="BT128">
        <v>7700</v>
      </c>
      <c r="BU128">
        <v>7945</v>
      </c>
      <c r="BV128">
        <v>8142</v>
      </c>
      <c r="BW128">
        <v>8294</v>
      </c>
      <c r="BX128">
        <v>8427</v>
      </c>
      <c r="BY128">
        <v>8541</v>
      </c>
      <c r="BZ128">
        <v>8619</v>
      </c>
      <c r="CA128">
        <v>8661</v>
      </c>
      <c r="CB128">
        <v>8691</v>
      </c>
      <c r="CC128">
        <v>8710</v>
      </c>
      <c r="CD128">
        <v>8740</v>
      </c>
      <c r="CE128">
        <v>8755</v>
      </c>
      <c r="CF128">
        <v>8758</v>
      </c>
      <c r="CG128">
        <v>8760</v>
      </c>
      <c r="CH128">
        <v>8760</v>
      </c>
      <c r="CI128">
        <v>8760</v>
      </c>
      <c r="CJ128">
        <v>8760</v>
      </c>
      <c r="CK128">
        <v>8760</v>
      </c>
      <c r="CL128">
        <v>8760</v>
      </c>
      <c r="CM128">
        <v>8760</v>
      </c>
      <c r="CN128">
        <v>8760</v>
      </c>
      <c r="CO128">
        <v>8760</v>
      </c>
      <c r="CP128">
        <v>8760</v>
      </c>
      <c r="CQ128">
        <v>8760</v>
      </c>
      <c r="CR128">
        <v>8760</v>
      </c>
      <c r="CS128">
        <v>8760</v>
      </c>
      <c r="CT128">
        <v>8760</v>
      </c>
      <c r="CU128">
        <v>8760</v>
      </c>
      <c r="CV128">
        <v>8760</v>
      </c>
      <c r="CW128">
        <v>8760</v>
      </c>
      <c r="CX128">
        <v>8760</v>
      </c>
      <c r="CY128">
        <v>8760</v>
      </c>
      <c r="CZ128">
        <v>8760</v>
      </c>
      <c r="DA128">
        <v>8760</v>
      </c>
      <c r="DB128">
        <v>8760</v>
      </c>
    </row>
    <row r="129" spans="1:106" x14ac:dyDescent="0.25">
      <c r="A129" s="13" t="s">
        <v>147</v>
      </c>
      <c r="B129" t="s">
        <v>140</v>
      </c>
      <c r="C129" t="s">
        <v>438</v>
      </c>
      <c r="D129" t="s">
        <v>641</v>
      </c>
      <c r="E129" t="s">
        <v>642</v>
      </c>
      <c r="F129">
        <v>102118</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4</v>
      </c>
      <c r="AP129">
        <v>17</v>
      </c>
      <c r="AQ129">
        <v>27</v>
      </c>
      <c r="AR129">
        <v>43</v>
      </c>
      <c r="AS129">
        <v>57</v>
      </c>
      <c r="AT129">
        <v>75</v>
      </c>
      <c r="AU129">
        <v>96</v>
      </c>
      <c r="AV129">
        <v>125</v>
      </c>
      <c r="AW129">
        <v>171</v>
      </c>
      <c r="AX129">
        <v>222</v>
      </c>
      <c r="AY129">
        <v>296</v>
      </c>
      <c r="AZ129">
        <v>419</v>
      </c>
      <c r="BA129">
        <v>581</v>
      </c>
      <c r="BB129">
        <v>820</v>
      </c>
      <c r="BC129">
        <v>1149</v>
      </c>
      <c r="BD129">
        <v>1469</v>
      </c>
      <c r="BE129">
        <v>1890</v>
      </c>
      <c r="BF129">
        <v>2322</v>
      </c>
      <c r="BG129">
        <v>2830</v>
      </c>
      <c r="BH129">
        <v>3331</v>
      </c>
      <c r="BI129">
        <v>3741</v>
      </c>
      <c r="BJ129">
        <v>4085</v>
      </c>
      <c r="BK129">
        <v>4421</v>
      </c>
      <c r="BL129">
        <v>4743</v>
      </c>
      <c r="BM129">
        <v>5052</v>
      </c>
      <c r="BN129">
        <v>5385</v>
      </c>
      <c r="BO129">
        <v>5747</v>
      </c>
      <c r="BP129">
        <v>6118</v>
      </c>
      <c r="BQ129">
        <v>6497</v>
      </c>
      <c r="BR129">
        <v>6853</v>
      </c>
      <c r="BS129">
        <v>7179</v>
      </c>
      <c r="BT129">
        <v>7482</v>
      </c>
      <c r="BU129">
        <v>7718</v>
      </c>
      <c r="BV129">
        <v>7930</v>
      </c>
      <c r="BW129">
        <v>8125</v>
      </c>
      <c r="BX129">
        <v>8292</v>
      </c>
      <c r="BY129">
        <v>8433</v>
      </c>
      <c r="BZ129">
        <v>8553</v>
      </c>
      <c r="CA129">
        <v>8637</v>
      </c>
      <c r="CB129">
        <v>8684</v>
      </c>
      <c r="CC129">
        <v>8723</v>
      </c>
      <c r="CD129">
        <v>8745</v>
      </c>
      <c r="CE129">
        <v>8752</v>
      </c>
      <c r="CF129">
        <v>8758</v>
      </c>
      <c r="CG129">
        <v>8760</v>
      </c>
      <c r="CH129">
        <v>8760</v>
      </c>
      <c r="CI129">
        <v>8760</v>
      </c>
      <c r="CJ129">
        <v>8760</v>
      </c>
      <c r="CK129">
        <v>8760</v>
      </c>
      <c r="CL129">
        <v>8760</v>
      </c>
      <c r="CM129">
        <v>8760</v>
      </c>
      <c r="CN129">
        <v>8760</v>
      </c>
      <c r="CO129">
        <v>8760</v>
      </c>
      <c r="CP129">
        <v>8760</v>
      </c>
      <c r="CQ129">
        <v>8760</v>
      </c>
      <c r="CR129">
        <v>8760</v>
      </c>
      <c r="CS129">
        <v>8760</v>
      </c>
      <c r="CT129">
        <v>8760</v>
      </c>
      <c r="CU129">
        <v>8760</v>
      </c>
      <c r="CV129">
        <v>8760</v>
      </c>
      <c r="CW129">
        <v>8760</v>
      </c>
      <c r="CX129">
        <v>8760</v>
      </c>
      <c r="CY129">
        <v>8760</v>
      </c>
      <c r="CZ129">
        <v>8760</v>
      </c>
      <c r="DA129">
        <v>8760</v>
      </c>
      <c r="DB129">
        <v>8760</v>
      </c>
    </row>
    <row r="130" spans="1:106" x14ac:dyDescent="0.25">
      <c r="A130" s="13" t="s">
        <v>148</v>
      </c>
      <c r="B130" t="s">
        <v>141</v>
      </c>
      <c r="C130" t="s">
        <v>438</v>
      </c>
      <c r="D130" t="s">
        <v>643</v>
      </c>
      <c r="E130" t="s">
        <v>644</v>
      </c>
      <c r="F130">
        <v>102510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1</v>
      </c>
      <c r="AJ130">
        <v>4</v>
      </c>
      <c r="AK130">
        <v>17</v>
      </c>
      <c r="AL130">
        <v>24</v>
      </c>
      <c r="AM130">
        <v>32</v>
      </c>
      <c r="AN130">
        <v>54</v>
      </c>
      <c r="AO130">
        <v>90</v>
      </c>
      <c r="AP130">
        <v>123</v>
      </c>
      <c r="AQ130">
        <v>157</v>
      </c>
      <c r="AR130">
        <v>191</v>
      </c>
      <c r="AS130">
        <v>236</v>
      </c>
      <c r="AT130">
        <v>291</v>
      </c>
      <c r="AU130">
        <v>352</v>
      </c>
      <c r="AV130">
        <v>425</v>
      </c>
      <c r="AW130">
        <v>554</v>
      </c>
      <c r="AX130">
        <v>690</v>
      </c>
      <c r="AY130">
        <v>853</v>
      </c>
      <c r="AZ130">
        <v>1018</v>
      </c>
      <c r="BA130">
        <v>1255</v>
      </c>
      <c r="BB130">
        <v>1564</v>
      </c>
      <c r="BC130">
        <v>1859</v>
      </c>
      <c r="BD130">
        <v>2230</v>
      </c>
      <c r="BE130">
        <v>2674</v>
      </c>
      <c r="BF130">
        <v>3084</v>
      </c>
      <c r="BG130">
        <v>3493</v>
      </c>
      <c r="BH130">
        <v>3863</v>
      </c>
      <c r="BI130">
        <v>4169</v>
      </c>
      <c r="BJ130">
        <v>4506</v>
      </c>
      <c r="BK130">
        <v>4851</v>
      </c>
      <c r="BL130">
        <v>5166</v>
      </c>
      <c r="BM130">
        <v>5471</v>
      </c>
      <c r="BN130">
        <v>5784</v>
      </c>
      <c r="BO130">
        <v>6072</v>
      </c>
      <c r="BP130">
        <v>6397</v>
      </c>
      <c r="BQ130">
        <v>6726</v>
      </c>
      <c r="BR130">
        <v>7051</v>
      </c>
      <c r="BS130">
        <v>7383</v>
      </c>
      <c r="BT130">
        <v>7672</v>
      </c>
      <c r="BU130">
        <v>7902</v>
      </c>
      <c r="BV130">
        <v>8081</v>
      </c>
      <c r="BW130">
        <v>8254</v>
      </c>
      <c r="BX130">
        <v>8370</v>
      </c>
      <c r="BY130">
        <v>8462</v>
      </c>
      <c r="BZ130">
        <v>8535</v>
      </c>
      <c r="CA130">
        <v>8587</v>
      </c>
      <c r="CB130">
        <v>8629</v>
      </c>
      <c r="CC130">
        <v>8675</v>
      </c>
      <c r="CD130">
        <v>8706</v>
      </c>
      <c r="CE130">
        <v>8725</v>
      </c>
      <c r="CF130">
        <v>8738</v>
      </c>
      <c r="CG130">
        <v>8749</v>
      </c>
      <c r="CH130">
        <v>8756</v>
      </c>
      <c r="CI130">
        <v>8760</v>
      </c>
      <c r="CJ130">
        <v>8760</v>
      </c>
      <c r="CK130">
        <v>8760</v>
      </c>
      <c r="CL130">
        <v>8760</v>
      </c>
      <c r="CM130">
        <v>8760</v>
      </c>
      <c r="CN130">
        <v>8760</v>
      </c>
      <c r="CO130">
        <v>8760</v>
      </c>
      <c r="CP130">
        <v>8760</v>
      </c>
      <c r="CQ130">
        <v>8760</v>
      </c>
      <c r="CR130">
        <v>8760</v>
      </c>
      <c r="CS130">
        <v>8760</v>
      </c>
      <c r="CT130">
        <v>8760</v>
      </c>
      <c r="CU130">
        <v>8760</v>
      </c>
      <c r="CV130">
        <v>8760</v>
      </c>
      <c r="CW130">
        <v>8760</v>
      </c>
      <c r="CX130">
        <v>8760</v>
      </c>
      <c r="CY130">
        <v>8760</v>
      </c>
      <c r="CZ130">
        <v>8760</v>
      </c>
      <c r="DA130">
        <v>8760</v>
      </c>
      <c r="DB130">
        <v>8760</v>
      </c>
    </row>
    <row r="131" spans="1:106" x14ac:dyDescent="0.25">
      <c r="A131" s="13" t="s">
        <v>149</v>
      </c>
      <c r="B131" t="s">
        <v>142</v>
      </c>
      <c r="C131" t="s">
        <v>438</v>
      </c>
      <c r="D131" t="s">
        <v>645</v>
      </c>
      <c r="E131" t="s">
        <v>646</v>
      </c>
      <c r="F131">
        <v>102120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1</v>
      </c>
      <c r="AS131">
        <v>5</v>
      </c>
      <c r="AT131">
        <v>14</v>
      </c>
      <c r="AU131">
        <v>29</v>
      </c>
      <c r="AV131">
        <v>48</v>
      </c>
      <c r="AW131">
        <v>65</v>
      </c>
      <c r="AX131">
        <v>99</v>
      </c>
      <c r="AY131">
        <v>153</v>
      </c>
      <c r="AZ131">
        <v>225</v>
      </c>
      <c r="BA131">
        <v>350</v>
      </c>
      <c r="BB131">
        <v>604</v>
      </c>
      <c r="BC131">
        <v>900</v>
      </c>
      <c r="BD131">
        <v>1197</v>
      </c>
      <c r="BE131">
        <v>1608</v>
      </c>
      <c r="BF131">
        <v>1989</v>
      </c>
      <c r="BG131">
        <v>2402</v>
      </c>
      <c r="BH131">
        <v>2894</v>
      </c>
      <c r="BI131">
        <v>3403</v>
      </c>
      <c r="BJ131">
        <v>3820</v>
      </c>
      <c r="BK131">
        <v>4226</v>
      </c>
      <c r="BL131">
        <v>4640</v>
      </c>
      <c r="BM131">
        <v>4981</v>
      </c>
      <c r="BN131">
        <v>5355</v>
      </c>
      <c r="BO131">
        <v>5735</v>
      </c>
      <c r="BP131">
        <v>6109</v>
      </c>
      <c r="BQ131">
        <v>6447</v>
      </c>
      <c r="BR131">
        <v>6826</v>
      </c>
      <c r="BS131">
        <v>7156</v>
      </c>
      <c r="BT131">
        <v>7437</v>
      </c>
      <c r="BU131">
        <v>7699</v>
      </c>
      <c r="BV131">
        <v>7914</v>
      </c>
      <c r="BW131">
        <v>8104</v>
      </c>
      <c r="BX131">
        <v>8269</v>
      </c>
      <c r="BY131">
        <v>8420</v>
      </c>
      <c r="BZ131">
        <v>8525</v>
      </c>
      <c r="CA131">
        <v>8602</v>
      </c>
      <c r="CB131">
        <v>8668</v>
      </c>
      <c r="CC131">
        <v>8711</v>
      </c>
      <c r="CD131">
        <v>8730</v>
      </c>
      <c r="CE131">
        <v>8744</v>
      </c>
      <c r="CF131">
        <v>8760</v>
      </c>
      <c r="CG131">
        <v>8760</v>
      </c>
      <c r="CH131">
        <v>8760</v>
      </c>
      <c r="CI131">
        <v>8760</v>
      </c>
      <c r="CJ131">
        <v>8760</v>
      </c>
      <c r="CK131">
        <v>8760</v>
      </c>
      <c r="CL131">
        <v>8760</v>
      </c>
      <c r="CM131">
        <v>8760</v>
      </c>
      <c r="CN131">
        <v>8760</v>
      </c>
      <c r="CO131">
        <v>8760</v>
      </c>
      <c r="CP131">
        <v>8760</v>
      </c>
      <c r="CQ131">
        <v>8760</v>
      </c>
      <c r="CR131">
        <v>8760</v>
      </c>
      <c r="CS131">
        <v>8760</v>
      </c>
      <c r="CT131">
        <v>8760</v>
      </c>
      <c r="CU131">
        <v>8760</v>
      </c>
      <c r="CV131">
        <v>8760</v>
      </c>
      <c r="CW131">
        <v>8760</v>
      </c>
      <c r="CX131">
        <v>8760</v>
      </c>
      <c r="CY131">
        <v>8760</v>
      </c>
      <c r="CZ131">
        <v>8760</v>
      </c>
      <c r="DA131">
        <v>8760</v>
      </c>
      <c r="DB131">
        <v>8760</v>
      </c>
    </row>
    <row r="132" spans="1:106" x14ac:dyDescent="0.25">
      <c r="A132" s="13" t="s">
        <v>150</v>
      </c>
      <c r="B132" t="s">
        <v>143</v>
      </c>
      <c r="C132" t="s">
        <v>438</v>
      </c>
      <c r="D132" t="s">
        <v>647</v>
      </c>
      <c r="E132" t="s">
        <v>648</v>
      </c>
      <c r="F132">
        <v>102507</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1</v>
      </c>
      <c r="AL132">
        <v>5</v>
      </c>
      <c r="AM132">
        <v>17</v>
      </c>
      <c r="AN132">
        <v>40</v>
      </c>
      <c r="AO132">
        <v>82</v>
      </c>
      <c r="AP132">
        <v>111</v>
      </c>
      <c r="AQ132">
        <v>158</v>
      </c>
      <c r="AR132">
        <v>207</v>
      </c>
      <c r="AS132">
        <v>250</v>
      </c>
      <c r="AT132">
        <v>299</v>
      </c>
      <c r="AU132">
        <v>367</v>
      </c>
      <c r="AV132">
        <v>426</v>
      </c>
      <c r="AW132">
        <v>495</v>
      </c>
      <c r="AX132">
        <v>601</v>
      </c>
      <c r="AY132">
        <v>775</v>
      </c>
      <c r="AZ132">
        <v>914</v>
      </c>
      <c r="BA132">
        <v>1102</v>
      </c>
      <c r="BB132">
        <v>1378</v>
      </c>
      <c r="BC132">
        <v>1652</v>
      </c>
      <c r="BD132">
        <v>1998</v>
      </c>
      <c r="BE132">
        <v>2413</v>
      </c>
      <c r="BF132">
        <v>2803</v>
      </c>
      <c r="BG132">
        <v>3194</v>
      </c>
      <c r="BH132">
        <v>3588</v>
      </c>
      <c r="BI132">
        <v>4014</v>
      </c>
      <c r="BJ132">
        <v>4345</v>
      </c>
      <c r="BK132">
        <v>4686</v>
      </c>
      <c r="BL132">
        <v>5004</v>
      </c>
      <c r="BM132">
        <v>5335</v>
      </c>
      <c r="BN132">
        <v>5629</v>
      </c>
      <c r="BO132">
        <v>5926</v>
      </c>
      <c r="BP132">
        <v>6293</v>
      </c>
      <c r="BQ132">
        <v>6654</v>
      </c>
      <c r="BR132">
        <v>6992</v>
      </c>
      <c r="BS132">
        <v>7324</v>
      </c>
      <c r="BT132">
        <v>7603</v>
      </c>
      <c r="BU132">
        <v>7832</v>
      </c>
      <c r="BV132">
        <v>8029</v>
      </c>
      <c r="BW132">
        <v>8184</v>
      </c>
      <c r="BX132">
        <v>8328</v>
      </c>
      <c r="BY132">
        <v>8437</v>
      </c>
      <c r="BZ132">
        <v>8521</v>
      </c>
      <c r="CA132">
        <v>8589</v>
      </c>
      <c r="CB132">
        <v>8632</v>
      </c>
      <c r="CC132">
        <v>8676</v>
      </c>
      <c r="CD132">
        <v>8711</v>
      </c>
      <c r="CE132">
        <v>8736</v>
      </c>
      <c r="CF132">
        <v>8748</v>
      </c>
      <c r="CG132">
        <v>8758</v>
      </c>
      <c r="CH132">
        <v>8758</v>
      </c>
      <c r="CI132">
        <v>8758</v>
      </c>
      <c r="CJ132">
        <v>8760</v>
      </c>
      <c r="CK132">
        <v>8760</v>
      </c>
      <c r="CL132">
        <v>8760</v>
      </c>
      <c r="CM132">
        <v>8760</v>
      </c>
      <c r="CN132">
        <v>8760</v>
      </c>
      <c r="CO132">
        <v>8760</v>
      </c>
      <c r="CP132">
        <v>8760</v>
      </c>
      <c r="CQ132">
        <v>8760</v>
      </c>
      <c r="CR132">
        <v>8760</v>
      </c>
      <c r="CS132">
        <v>8760</v>
      </c>
      <c r="CT132">
        <v>8760</v>
      </c>
      <c r="CU132">
        <v>8760</v>
      </c>
      <c r="CV132">
        <v>8760</v>
      </c>
      <c r="CW132">
        <v>8760</v>
      </c>
      <c r="CX132">
        <v>8760</v>
      </c>
      <c r="CY132">
        <v>8760</v>
      </c>
      <c r="CZ132">
        <v>8760</v>
      </c>
      <c r="DA132">
        <v>8760</v>
      </c>
      <c r="DB132">
        <v>8760</v>
      </c>
    </row>
    <row r="133" spans="1:106" x14ac:dyDescent="0.25">
      <c r="A133" s="13" t="s">
        <v>151</v>
      </c>
      <c r="B133" t="s">
        <v>144</v>
      </c>
      <c r="C133" t="s">
        <v>438</v>
      </c>
      <c r="D133" t="s">
        <v>649</v>
      </c>
      <c r="E133" t="s">
        <v>650</v>
      </c>
      <c r="F133">
        <v>102411</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4</v>
      </c>
      <c r="AL133">
        <v>5</v>
      </c>
      <c r="AM133">
        <v>6</v>
      </c>
      <c r="AN133">
        <v>20</v>
      </c>
      <c r="AO133">
        <v>25</v>
      </c>
      <c r="AP133">
        <v>39</v>
      </c>
      <c r="AQ133">
        <v>62</v>
      </c>
      <c r="AR133">
        <v>90</v>
      </c>
      <c r="AS133">
        <v>142</v>
      </c>
      <c r="AT133">
        <v>190</v>
      </c>
      <c r="AU133">
        <v>244</v>
      </c>
      <c r="AV133">
        <v>315</v>
      </c>
      <c r="AW133">
        <v>428</v>
      </c>
      <c r="AX133">
        <v>582</v>
      </c>
      <c r="AY133">
        <v>702</v>
      </c>
      <c r="AZ133">
        <v>884</v>
      </c>
      <c r="BA133">
        <v>1115</v>
      </c>
      <c r="BB133">
        <v>1429</v>
      </c>
      <c r="BC133">
        <v>1765</v>
      </c>
      <c r="BD133">
        <v>2114</v>
      </c>
      <c r="BE133">
        <v>2524</v>
      </c>
      <c r="BF133">
        <v>2904</v>
      </c>
      <c r="BG133">
        <v>3295</v>
      </c>
      <c r="BH133">
        <v>3628</v>
      </c>
      <c r="BI133">
        <v>3973</v>
      </c>
      <c r="BJ133">
        <v>4286</v>
      </c>
      <c r="BK133">
        <v>4609</v>
      </c>
      <c r="BL133">
        <v>4906</v>
      </c>
      <c r="BM133">
        <v>5196</v>
      </c>
      <c r="BN133">
        <v>5534</v>
      </c>
      <c r="BO133">
        <v>5880</v>
      </c>
      <c r="BP133">
        <v>6295</v>
      </c>
      <c r="BQ133">
        <v>6643</v>
      </c>
      <c r="BR133">
        <v>6956</v>
      </c>
      <c r="BS133">
        <v>7251</v>
      </c>
      <c r="BT133">
        <v>7538</v>
      </c>
      <c r="BU133">
        <v>7792</v>
      </c>
      <c r="BV133">
        <v>8003</v>
      </c>
      <c r="BW133">
        <v>8195</v>
      </c>
      <c r="BX133">
        <v>8368</v>
      </c>
      <c r="BY133">
        <v>8479</v>
      </c>
      <c r="BZ133">
        <v>8540</v>
      </c>
      <c r="CA133">
        <v>8602</v>
      </c>
      <c r="CB133">
        <v>8641</v>
      </c>
      <c r="CC133">
        <v>8679</v>
      </c>
      <c r="CD133">
        <v>8707</v>
      </c>
      <c r="CE133">
        <v>8728</v>
      </c>
      <c r="CF133">
        <v>8741</v>
      </c>
      <c r="CG133">
        <v>8752</v>
      </c>
      <c r="CH133">
        <v>8759</v>
      </c>
      <c r="CI133">
        <v>8760</v>
      </c>
      <c r="CJ133">
        <v>8760</v>
      </c>
      <c r="CK133">
        <v>8760</v>
      </c>
      <c r="CL133">
        <v>8760</v>
      </c>
      <c r="CM133">
        <v>8760</v>
      </c>
      <c r="CN133">
        <v>8760</v>
      </c>
      <c r="CO133">
        <v>8760</v>
      </c>
      <c r="CP133">
        <v>8760</v>
      </c>
      <c r="CQ133">
        <v>8760</v>
      </c>
      <c r="CR133">
        <v>8760</v>
      </c>
      <c r="CS133">
        <v>8760</v>
      </c>
      <c r="CT133">
        <v>8760</v>
      </c>
      <c r="CU133">
        <v>8760</v>
      </c>
      <c r="CV133">
        <v>8760</v>
      </c>
      <c r="CW133">
        <v>8760</v>
      </c>
      <c r="CX133">
        <v>8760</v>
      </c>
      <c r="CY133">
        <v>8760</v>
      </c>
      <c r="CZ133">
        <v>8760</v>
      </c>
      <c r="DA133">
        <v>8760</v>
      </c>
      <c r="DB133">
        <v>8760</v>
      </c>
    </row>
    <row r="134" spans="1:106" x14ac:dyDescent="0.25">
      <c r="A134" s="13" t="s">
        <v>152</v>
      </c>
      <c r="B134" t="s">
        <v>146</v>
      </c>
      <c r="C134" t="s">
        <v>438</v>
      </c>
      <c r="D134" t="s">
        <v>651</v>
      </c>
      <c r="E134" t="s">
        <v>652</v>
      </c>
      <c r="F134">
        <v>102520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2</v>
      </c>
      <c r="AJ134">
        <v>6</v>
      </c>
      <c r="AK134">
        <v>14</v>
      </c>
      <c r="AL134">
        <v>24</v>
      </c>
      <c r="AM134">
        <v>35</v>
      </c>
      <c r="AN134">
        <v>94</v>
      </c>
      <c r="AO134">
        <v>135</v>
      </c>
      <c r="AP134">
        <v>164</v>
      </c>
      <c r="AQ134">
        <v>205</v>
      </c>
      <c r="AR134">
        <v>263</v>
      </c>
      <c r="AS134">
        <v>322</v>
      </c>
      <c r="AT134">
        <v>383</v>
      </c>
      <c r="AU134">
        <v>485</v>
      </c>
      <c r="AV134">
        <v>548</v>
      </c>
      <c r="AW134">
        <v>639</v>
      </c>
      <c r="AX134">
        <v>757</v>
      </c>
      <c r="AY134">
        <v>866</v>
      </c>
      <c r="AZ134">
        <v>999</v>
      </c>
      <c r="BA134">
        <v>1234</v>
      </c>
      <c r="BB134">
        <v>1528</v>
      </c>
      <c r="BC134">
        <v>1853</v>
      </c>
      <c r="BD134">
        <v>2198</v>
      </c>
      <c r="BE134">
        <v>2640</v>
      </c>
      <c r="BF134">
        <v>3007</v>
      </c>
      <c r="BG134">
        <v>3325</v>
      </c>
      <c r="BH134">
        <v>3621</v>
      </c>
      <c r="BI134">
        <v>3915</v>
      </c>
      <c r="BJ134">
        <v>4252</v>
      </c>
      <c r="BK134">
        <v>4622</v>
      </c>
      <c r="BL134">
        <v>5003</v>
      </c>
      <c r="BM134">
        <v>5372</v>
      </c>
      <c r="BN134">
        <v>5715</v>
      </c>
      <c r="BO134">
        <v>6041</v>
      </c>
      <c r="BP134">
        <v>6352</v>
      </c>
      <c r="BQ134">
        <v>6743</v>
      </c>
      <c r="BR134">
        <v>7103</v>
      </c>
      <c r="BS134">
        <v>7433</v>
      </c>
      <c r="BT134">
        <v>7739</v>
      </c>
      <c r="BU134">
        <v>7985</v>
      </c>
      <c r="BV134">
        <v>8186</v>
      </c>
      <c r="BW134">
        <v>8351</v>
      </c>
      <c r="BX134">
        <v>8459</v>
      </c>
      <c r="BY134">
        <v>8533</v>
      </c>
      <c r="BZ134">
        <v>8595</v>
      </c>
      <c r="CA134">
        <v>8648</v>
      </c>
      <c r="CB134">
        <v>8700</v>
      </c>
      <c r="CC134">
        <v>8732</v>
      </c>
      <c r="CD134">
        <v>8751</v>
      </c>
      <c r="CE134">
        <v>8758</v>
      </c>
      <c r="CF134">
        <v>8760</v>
      </c>
      <c r="CG134">
        <v>8760</v>
      </c>
      <c r="CH134">
        <v>8760</v>
      </c>
      <c r="CI134">
        <v>8760</v>
      </c>
      <c r="CJ134">
        <v>8760</v>
      </c>
      <c r="CK134">
        <v>8760</v>
      </c>
      <c r="CL134">
        <v>8760</v>
      </c>
      <c r="CM134">
        <v>8760</v>
      </c>
      <c r="CN134">
        <v>8760</v>
      </c>
      <c r="CO134">
        <v>8760</v>
      </c>
      <c r="CP134">
        <v>8760</v>
      </c>
      <c r="CQ134">
        <v>8760</v>
      </c>
      <c r="CR134">
        <v>8760</v>
      </c>
      <c r="CS134">
        <v>8760</v>
      </c>
      <c r="CT134">
        <v>8760</v>
      </c>
      <c r="CU134">
        <v>8760</v>
      </c>
      <c r="CV134">
        <v>8760</v>
      </c>
      <c r="CW134">
        <v>8760</v>
      </c>
      <c r="CX134">
        <v>8760</v>
      </c>
      <c r="CY134">
        <v>8760</v>
      </c>
      <c r="CZ134">
        <v>8760</v>
      </c>
      <c r="DA134">
        <v>8760</v>
      </c>
      <c r="DB134">
        <v>8760</v>
      </c>
    </row>
    <row r="135" spans="1:106" x14ac:dyDescent="0.25">
      <c r="A135" s="13" t="s">
        <v>153</v>
      </c>
      <c r="B135" t="s">
        <v>147</v>
      </c>
      <c r="C135" t="s">
        <v>438</v>
      </c>
      <c r="D135" t="s">
        <v>653</v>
      </c>
      <c r="E135" t="s">
        <v>654</v>
      </c>
      <c r="F135">
        <v>102205</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8</v>
      </c>
      <c r="AP135">
        <v>21</v>
      </c>
      <c r="AQ135">
        <v>50</v>
      </c>
      <c r="AR135">
        <v>63</v>
      </c>
      <c r="AS135">
        <v>81</v>
      </c>
      <c r="AT135">
        <v>92</v>
      </c>
      <c r="AU135">
        <v>115</v>
      </c>
      <c r="AV135">
        <v>158</v>
      </c>
      <c r="AW135">
        <v>211</v>
      </c>
      <c r="AX135">
        <v>299</v>
      </c>
      <c r="AY135">
        <v>377</v>
      </c>
      <c r="AZ135">
        <v>479</v>
      </c>
      <c r="BA135">
        <v>644</v>
      </c>
      <c r="BB135">
        <v>879</v>
      </c>
      <c r="BC135">
        <v>1146</v>
      </c>
      <c r="BD135">
        <v>1430</v>
      </c>
      <c r="BE135">
        <v>1770</v>
      </c>
      <c r="BF135">
        <v>2126</v>
      </c>
      <c r="BG135">
        <v>2552</v>
      </c>
      <c r="BH135">
        <v>2996</v>
      </c>
      <c r="BI135">
        <v>3486</v>
      </c>
      <c r="BJ135">
        <v>3943</v>
      </c>
      <c r="BK135">
        <v>4385</v>
      </c>
      <c r="BL135">
        <v>4796</v>
      </c>
      <c r="BM135">
        <v>5125</v>
      </c>
      <c r="BN135">
        <v>5441</v>
      </c>
      <c r="BO135">
        <v>5787</v>
      </c>
      <c r="BP135">
        <v>6126</v>
      </c>
      <c r="BQ135">
        <v>6467</v>
      </c>
      <c r="BR135">
        <v>6831</v>
      </c>
      <c r="BS135">
        <v>7153</v>
      </c>
      <c r="BT135">
        <v>7490</v>
      </c>
      <c r="BU135">
        <v>7777</v>
      </c>
      <c r="BV135">
        <v>8032</v>
      </c>
      <c r="BW135">
        <v>8253</v>
      </c>
      <c r="BX135">
        <v>8415</v>
      </c>
      <c r="BY135">
        <v>8515</v>
      </c>
      <c r="BZ135">
        <v>8573</v>
      </c>
      <c r="CA135">
        <v>8624</v>
      </c>
      <c r="CB135">
        <v>8668</v>
      </c>
      <c r="CC135">
        <v>8695</v>
      </c>
      <c r="CD135">
        <v>8725</v>
      </c>
      <c r="CE135">
        <v>8742</v>
      </c>
      <c r="CF135">
        <v>8755</v>
      </c>
      <c r="CG135">
        <v>8759</v>
      </c>
      <c r="CH135">
        <v>8760</v>
      </c>
      <c r="CI135">
        <v>8760</v>
      </c>
      <c r="CJ135">
        <v>8760</v>
      </c>
      <c r="CK135">
        <v>8760</v>
      </c>
      <c r="CL135">
        <v>8760</v>
      </c>
      <c r="CM135">
        <v>8760</v>
      </c>
      <c r="CN135">
        <v>8760</v>
      </c>
      <c r="CO135">
        <v>8760</v>
      </c>
      <c r="CP135">
        <v>8760</v>
      </c>
      <c r="CQ135">
        <v>8760</v>
      </c>
      <c r="CR135">
        <v>8760</v>
      </c>
      <c r="CS135">
        <v>8760</v>
      </c>
      <c r="CT135">
        <v>8760</v>
      </c>
      <c r="CU135">
        <v>8760</v>
      </c>
      <c r="CV135">
        <v>8760</v>
      </c>
      <c r="CW135">
        <v>8760</v>
      </c>
      <c r="CX135">
        <v>8760</v>
      </c>
      <c r="CY135">
        <v>8760</v>
      </c>
      <c r="CZ135">
        <v>8760</v>
      </c>
      <c r="DA135">
        <v>8760</v>
      </c>
      <c r="DB135">
        <v>8760</v>
      </c>
    </row>
    <row r="136" spans="1:106" x14ac:dyDescent="0.25">
      <c r="A136" s="13" t="s">
        <v>154</v>
      </c>
      <c r="B136" t="s">
        <v>148</v>
      </c>
      <c r="C136" t="s">
        <v>438</v>
      </c>
      <c r="D136" t="s">
        <v>655</v>
      </c>
      <c r="E136" t="s">
        <v>656</v>
      </c>
      <c r="F136">
        <v>102014</v>
      </c>
      <c r="G136">
        <v>0</v>
      </c>
      <c r="H136">
        <v>0</v>
      </c>
      <c r="I136">
        <v>0</v>
      </c>
      <c r="J136">
        <v>0</v>
      </c>
      <c r="K136">
        <v>0</v>
      </c>
      <c r="L136">
        <v>0</v>
      </c>
      <c r="M136">
        <v>0</v>
      </c>
      <c r="N136">
        <v>0</v>
      </c>
      <c r="O136">
        <v>0</v>
      </c>
      <c r="P136">
        <v>0</v>
      </c>
      <c r="Q136">
        <v>0</v>
      </c>
      <c r="R136">
        <v>0</v>
      </c>
      <c r="S136">
        <v>0</v>
      </c>
      <c r="T136">
        <v>0</v>
      </c>
      <c r="U136">
        <v>0</v>
      </c>
      <c r="V136">
        <v>0</v>
      </c>
      <c r="W136">
        <v>0</v>
      </c>
      <c r="X136">
        <v>0</v>
      </c>
      <c r="Y136">
        <v>0</v>
      </c>
      <c r="Z136">
        <v>6</v>
      </c>
      <c r="AA136">
        <v>15</v>
      </c>
      <c r="AB136">
        <v>21</v>
      </c>
      <c r="AC136">
        <v>37</v>
      </c>
      <c r="AD136">
        <v>54</v>
      </c>
      <c r="AE136">
        <v>76</v>
      </c>
      <c r="AF136">
        <v>119</v>
      </c>
      <c r="AG136">
        <v>186</v>
      </c>
      <c r="AH136">
        <v>254</v>
      </c>
      <c r="AI136">
        <v>315</v>
      </c>
      <c r="AJ136">
        <v>387</v>
      </c>
      <c r="AK136">
        <v>455</v>
      </c>
      <c r="AL136">
        <v>538</v>
      </c>
      <c r="AM136">
        <v>632</v>
      </c>
      <c r="AN136">
        <v>729</v>
      </c>
      <c r="AO136">
        <v>847</v>
      </c>
      <c r="AP136">
        <v>969</v>
      </c>
      <c r="AQ136">
        <v>1118</v>
      </c>
      <c r="AR136">
        <v>1275</v>
      </c>
      <c r="AS136">
        <v>1442</v>
      </c>
      <c r="AT136">
        <v>1635</v>
      </c>
      <c r="AU136">
        <v>1814</v>
      </c>
      <c r="AV136">
        <v>2042</v>
      </c>
      <c r="AW136">
        <v>2310</v>
      </c>
      <c r="AX136">
        <v>2600</v>
      </c>
      <c r="AY136">
        <v>2891</v>
      </c>
      <c r="AZ136">
        <v>3181</v>
      </c>
      <c r="BA136">
        <v>3499</v>
      </c>
      <c r="BB136">
        <v>3836</v>
      </c>
      <c r="BC136">
        <v>4161</v>
      </c>
      <c r="BD136">
        <v>4507</v>
      </c>
      <c r="BE136">
        <v>4898</v>
      </c>
      <c r="BF136">
        <v>5218</v>
      </c>
      <c r="BG136">
        <v>5516</v>
      </c>
      <c r="BH136">
        <v>5736</v>
      </c>
      <c r="BI136">
        <v>6003</v>
      </c>
      <c r="BJ136">
        <v>6310</v>
      </c>
      <c r="BK136">
        <v>6601</v>
      </c>
      <c r="BL136">
        <v>6884</v>
      </c>
      <c r="BM136">
        <v>7127</v>
      </c>
      <c r="BN136">
        <v>7353</v>
      </c>
      <c r="BO136">
        <v>7631</v>
      </c>
      <c r="BP136">
        <v>7867</v>
      </c>
      <c r="BQ136">
        <v>8105</v>
      </c>
      <c r="BR136">
        <v>8279</v>
      </c>
      <c r="BS136">
        <v>8436</v>
      </c>
      <c r="BT136">
        <v>8539</v>
      </c>
      <c r="BU136">
        <v>8602</v>
      </c>
      <c r="BV136">
        <v>8652</v>
      </c>
      <c r="BW136">
        <v>8688</v>
      </c>
      <c r="BX136">
        <v>8729</v>
      </c>
      <c r="BY136">
        <v>8744</v>
      </c>
      <c r="BZ136">
        <v>8758</v>
      </c>
      <c r="CA136">
        <v>8760</v>
      </c>
      <c r="CB136">
        <v>8760</v>
      </c>
      <c r="CC136">
        <v>8760</v>
      </c>
      <c r="CD136">
        <v>8760</v>
      </c>
      <c r="CE136">
        <v>8760</v>
      </c>
      <c r="CF136">
        <v>8760</v>
      </c>
      <c r="CG136">
        <v>8760</v>
      </c>
      <c r="CH136">
        <v>8760</v>
      </c>
      <c r="CI136">
        <v>8760</v>
      </c>
      <c r="CJ136">
        <v>8760</v>
      </c>
      <c r="CK136">
        <v>8760</v>
      </c>
      <c r="CL136">
        <v>8760</v>
      </c>
      <c r="CM136">
        <v>8760</v>
      </c>
      <c r="CN136">
        <v>8760</v>
      </c>
      <c r="CO136">
        <v>8760</v>
      </c>
      <c r="CP136">
        <v>8760</v>
      </c>
      <c r="CQ136">
        <v>8760</v>
      </c>
      <c r="CR136">
        <v>8760</v>
      </c>
      <c r="CS136">
        <v>8760</v>
      </c>
      <c r="CT136">
        <v>8760</v>
      </c>
      <c r="CU136">
        <v>8760</v>
      </c>
      <c r="CV136">
        <v>8760</v>
      </c>
      <c r="CW136">
        <v>8760</v>
      </c>
      <c r="CX136">
        <v>8760</v>
      </c>
      <c r="CY136">
        <v>8760</v>
      </c>
      <c r="CZ136">
        <v>8760</v>
      </c>
      <c r="DA136">
        <v>8760</v>
      </c>
      <c r="DB136">
        <v>8760</v>
      </c>
    </row>
    <row r="137" spans="1:106" x14ac:dyDescent="0.25">
      <c r="A137" s="13" t="s">
        <v>155</v>
      </c>
      <c r="B137" t="s">
        <v>149</v>
      </c>
      <c r="C137" t="s">
        <v>438</v>
      </c>
      <c r="D137" t="s">
        <v>657</v>
      </c>
      <c r="E137" t="s">
        <v>658</v>
      </c>
      <c r="F137">
        <v>102403</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5</v>
      </c>
      <c r="AK137">
        <v>9</v>
      </c>
      <c r="AL137">
        <v>13</v>
      </c>
      <c r="AM137">
        <v>19</v>
      </c>
      <c r="AN137">
        <v>29</v>
      </c>
      <c r="AO137">
        <v>48</v>
      </c>
      <c r="AP137">
        <v>60</v>
      </c>
      <c r="AQ137">
        <v>73</v>
      </c>
      <c r="AR137">
        <v>83</v>
      </c>
      <c r="AS137">
        <v>100</v>
      </c>
      <c r="AT137">
        <v>131</v>
      </c>
      <c r="AU137">
        <v>161</v>
      </c>
      <c r="AV137">
        <v>219</v>
      </c>
      <c r="AW137">
        <v>295</v>
      </c>
      <c r="AX137">
        <v>379</v>
      </c>
      <c r="AY137">
        <v>505</v>
      </c>
      <c r="AZ137">
        <v>673</v>
      </c>
      <c r="BA137">
        <v>887</v>
      </c>
      <c r="BB137">
        <v>1182</v>
      </c>
      <c r="BC137">
        <v>1450</v>
      </c>
      <c r="BD137">
        <v>1805</v>
      </c>
      <c r="BE137">
        <v>2228</v>
      </c>
      <c r="BF137">
        <v>2672</v>
      </c>
      <c r="BG137">
        <v>3146</v>
      </c>
      <c r="BH137">
        <v>3644</v>
      </c>
      <c r="BI137">
        <v>4102</v>
      </c>
      <c r="BJ137">
        <v>4438</v>
      </c>
      <c r="BK137">
        <v>4720</v>
      </c>
      <c r="BL137">
        <v>5018</v>
      </c>
      <c r="BM137">
        <v>5310</v>
      </c>
      <c r="BN137">
        <v>5584</v>
      </c>
      <c r="BO137">
        <v>5920</v>
      </c>
      <c r="BP137">
        <v>6252</v>
      </c>
      <c r="BQ137">
        <v>6590</v>
      </c>
      <c r="BR137">
        <v>6939</v>
      </c>
      <c r="BS137">
        <v>7269</v>
      </c>
      <c r="BT137">
        <v>7544</v>
      </c>
      <c r="BU137">
        <v>7783</v>
      </c>
      <c r="BV137">
        <v>7971</v>
      </c>
      <c r="BW137">
        <v>8163</v>
      </c>
      <c r="BX137">
        <v>8306</v>
      </c>
      <c r="BY137">
        <v>8410</v>
      </c>
      <c r="BZ137">
        <v>8509</v>
      </c>
      <c r="CA137">
        <v>8570</v>
      </c>
      <c r="CB137">
        <v>8615</v>
      </c>
      <c r="CC137">
        <v>8661</v>
      </c>
      <c r="CD137">
        <v>8687</v>
      </c>
      <c r="CE137">
        <v>8718</v>
      </c>
      <c r="CF137">
        <v>8736</v>
      </c>
      <c r="CG137">
        <v>8750</v>
      </c>
      <c r="CH137">
        <v>8755</v>
      </c>
      <c r="CI137">
        <v>8760</v>
      </c>
      <c r="CJ137">
        <v>8760</v>
      </c>
      <c r="CK137">
        <v>8760</v>
      </c>
      <c r="CL137">
        <v>8760</v>
      </c>
      <c r="CM137">
        <v>8760</v>
      </c>
      <c r="CN137">
        <v>8760</v>
      </c>
      <c r="CO137">
        <v>8760</v>
      </c>
      <c r="CP137">
        <v>8760</v>
      </c>
      <c r="CQ137">
        <v>8760</v>
      </c>
      <c r="CR137">
        <v>8760</v>
      </c>
      <c r="CS137">
        <v>8760</v>
      </c>
      <c r="CT137">
        <v>8760</v>
      </c>
      <c r="CU137">
        <v>8760</v>
      </c>
      <c r="CV137">
        <v>8760</v>
      </c>
      <c r="CW137">
        <v>8760</v>
      </c>
      <c r="CX137">
        <v>8760</v>
      </c>
      <c r="CY137">
        <v>8760</v>
      </c>
      <c r="CZ137">
        <v>8760</v>
      </c>
      <c r="DA137">
        <v>8760</v>
      </c>
      <c r="DB137">
        <v>8760</v>
      </c>
    </row>
    <row r="138" spans="1:106" x14ac:dyDescent="0.25">
      <c r="A138" s="13" t="s">
        <v>156</v>
      </c>
      <c r="B138" t="s">
        <v>150</v>
      </c>
      <c r="C138" t="s">
        <v>438</v>
      </c>
      <c r="D138" t="s">
        <v>659</v>
      </c>
      <c r="E138" t="s">
        <v>660</v>
      </c>
      <c r="F138">
        <v>102110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4</v>
      </c>
      <c r="AQ138">
        <v>10</v>
      </c>
      <c r="AR138">
        <v>23</v>
      </c>
      <c r="AS138">
        <v>42</v>
      </c>
      <c r="AT138">
        <v>75</v>
      </c>
      <c r="AU138">
        <v>112</v>
      </c>
      <c r="AV138">
        <v>152</v>
      </c>
      <c r="AW138">
        <v>202</v>
      </c>
      <c r="AX138">
        <v>263</v>
      </c>
      <c r="AY138">
        <v>361</v>
      </c>
      <c r="AZ138">
        <v>481</v>
      </c>
      <c r="BA138">
        <v>622</v>
      </c>
      <c r="BB138">
        <v>812</v>
      </c>
      <c r="BC138">
        <v>1046</v>
      </c>
      <c r="BD138">
        <v>1310</v>
      </c>
      <c r="BE138">
        <v>1660</v>
      </c>
      <c r="BF138">
        <v>2077</v>
      </c>
      <c r="BG138">
        <v>2487</v>
      </c>
      <c r="BH138">
        <v>2911</v>
      </c>
      <c r="BI138">
        <v>3384</v>
      </c>
      <c r="BJ138">
        <v>3831</v>
      </c>
      <c r="BK138">
        <v>4247</v>
      </c>
      <c r="BL138">
        <v>4528</v>
      </c>
      <c r="BM138">
        <v>4788</v>
      </c>
      <c r="BN138">
        <v>5119</v>
      </c>
      <c r="BO138">
        <v>5477</v>
      </c>
      <c r="BP138">
        <v>5937</v>
      </c>
      <c r="BQ138">
        <v>6394</v>
      </c>
      <c r="BR138">
        <v>6778</v>
      </c>
      <c r="BS138">
        <v>7125</v>
      </c>
      <c r="BT138">
        <v>7431</v>
      </c>
      <c r="BU138">
        <v>7725</v>
      </c>
      <c r="BV138">
        <v>8011</v>
      </c>
      <c r="BW138">
        <v>8185</v>
      </c>
      <c r="BX138">
        <v>8300</v>
      </c>
      <c r="BY138">
        <v>8407</v>
      </c>
      <c r="BZ138">
        <v>8507</v>
      </c>
      <c r="CA138">
        <v>8576</v>
      </c>
      <c r="CB138">
        <v>8629</v>
      </c>
      <c r="CC138">
        <v>8663</v>
      </c>
      <c r="CD138">
        <v>8703</v>
      </c>
      <c r="CE138">
        <v>8736</v>
      </c>
      <c r="CF138">
        <v>8756</v>
      </c>
      <c r="CG138">
        <v>8760</v>
      </c>
      <c r="CH138">
        <v>8760</v>
      </c>
      <c r="CI138">
        <v>8760</v>
      </c>
      <c r="CJ138">
        <v>8760</v>
      </c>
      <c r="CK138">
        <v>8760</v>
      </c>
      <c r="CL138">
        <v>8760</v>
      </c>
      <c r="CM138">
        <v>8760</v>
      </c>
      <c r="CN138">
        <v>8760</v>
      </c>
      <c r="CO138">
        <v>8760</v>
      </c>
      <c r="CP138">
        <v>8760</v>
      </c>
      <c r="CQ138">
        <v>8760</v>
      </c>
      <c r="CR138">
        <v>8760</v>
      </c>
      <c r="CS138">
        <v>8760</v>
      </c>
      <c r="CT138">
        <v>8760</v>
      </c>
      <c r="CU138">
        <v>8760</v>
      </c>
      <c r="CV138">
        <v>8760</v>
      </c>
      <c r="CW138">
        <v>8760</v>
      </c>
      <c r="CX138">
        <v>8760</v>
      </c>
      <c r="CY138">
        <v>8760</v>
      </c>
      <c r="CZ138">
        <v>8760</v>
      </c>
      <c r="DA138">
        <v>8760</v>
      </c>
      <c r="DB138">
        <v>8760</v>
      </c>
    </row>
    <row r="139" spans="1:106" x14ac:dyDescent="0.25">
      <c r="A139" s="13" t="s">
        <v>157</v>
      </c>
      <c r="B139" t="s">
        <v>151</v>
      </c>
      <c r="C139" t="s">
        <v>438</v>
      </c>
      <c r="D139" t="s">
        <v>661</v>
      </c>
      <c r="E139" t="s">
        <v>662</v>
      </c>
      <c r="F139">
        <v>102638</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2</v>
      </c>
      <c r="AN139">
        <v>13</v>
      </c>
      <c r="AO139">
        <v>26</v>
      </c>
      <c r="AP139">
        <v>51</v>
      </c>
      <c r="AQ139">
        <v>91</v>
      </c>
      <c r="AR139">
        <v>133</v>
      </c>
      <c r="AS139">
        <v>160</v>
      </c>
      <c r="AT139">
        <v>194</v>
      </c>
      <c r="AU139">
        <v>236</v>
      </c>
      <c r="AV139">
        <v>279</v>
      </c>
      <c r="AW139">
        <v>360</v>
      </c>
      <c r="AX139">
        <v>474</v>
      </c>
      <c r="AY139">
        <v>623</v>
      </c>
      <c r="AZ139">
        <v>829</v>
      </c>
      <c r="BA139">
        <v>1056</v>
      </c>
      <c r="BB139">
        <v>1284</v>
      </c>
      <c r="BC139">
        <v>1554</v>
      </c>
      <c r="BD139">
        <v>1917</v>
      </c>
      <c r="BE139">
        <v>2394</v>
      </c>
      <c r="BF139">
        <v>2823</v>
      </c>
      <c r="BG139">
        <v>3215</v>
      </c>
      <c r="BH139">
        <v>3535</v>
      </c>
      <c r="BI139">
        <v>3893</v>
      </c>
      <c r="BJ139">
        <v>4275</v>
      </c>
      <c r="BK139">
        <v>4610</v>
      </c>
      <c r="BL139">
        <v>4912</v>
      </c>
      <c r="BM139">
        <v>5288</v>
      </c>
      <c r="BN139">
        <v>5680</v>
      </c>
      <c r="BO139">
        <v>6052</v>
      </c>
      <c r="BP139">
        <v>6379</v>
      </c>
      <c r="BQ139">
        <v>6702</v>
      </c>
      <c r="BR139">
        <v>7048</v>
      </c>
      <c r="BS139">
        <v>7326</v>
      </c>
      <c r="BT139">
        <v>7592</v>
      </c>
      <c r="BU139">
        <v>7832</v>
      </c>
      <c r="BV139">
        <v>8014</v>
      </c>
      <c r="BW139">
        <v>8181</v>
      </c>
      <c r="BX139">
        <v>8322</v>
      </c>
      <c r="BY139">
        <v>8451</v>
      </c>
      <c r="BZ139">
        <v>8533</v>
      </c>
      <c r="CA139">
        <v>8592</v>
      </c>
      <c r="CB139">
        <v>8659</v>
      </c>
      <c r="CC139">
        <v>8699</v>
      </c>
      <c r="CD139">
        <v>8717</v>
      </c>
      <c r="CE139">
        <v>8732</v>
      </c>
      <c r="CF139">
        <v>8747</v>
      </c>
      <c r="CG139">
        <v>8756</v>
      </c>
      <c r="CH139">
        <v>8760</v>
      </c>
      <c r="CI139">
        <v>8760</v>
      </c>
      <c r="CJ139">
        <v>8760</v>
      </c>
      <c r="CK139">
        <v>8760</v>
      </c>
      <c r="CL139">
        <v>8760</v>
      </c>
      <c r="CM139">
        <v>8760</v>
      </c>
      <c r="CN139">
        <v>8760</v>
      </c>
      <c r="CO139">
        <v>8760</v>
      </c>
      <c r="CP139">
        <v>8760</v>
      </c>
      <c r="CQ139">
        <v>8760</v>
      </c>
      <c r="CR139">
        <v>8760</v>
      </c>
      <c r="CS139">
        <v>8760</v>
      </c>
      <c r="CT139">
        <v>8760</v>
      </c>
      <c r="CU139">
        <v>8760</v>
      </c>
      <c r="CV139">
        <v>8760</v>
      </c>
      <c r="CW139">
        <v>8760</v>
      </c>
      <c r="CX139">
        <v>8760</v>
      </c>
      <c r="CY139">
        <v>8760</v>
      </c>
      <c r="CZ139">
        <v>8760</v>
      </c>
      <c r="DA139">
        <v>8760</v>
      </c>
      <c r="DB139">
        <v>8760</v>
      </c>
    </row>
    <row r="140" spans="1:106" x14ac:dyDescent="0.25">
      <c r="A140" s="13" t="s">
        <v>158</v>
      </c>
      <c r="B140" t="s">
        <v>153</v>
      </c>
      <c r="C140" t="s">
        <v>438</v>
      </c>
      <c r="D140" t="s">
        <v>663</v>
      </c>
      <c r="E140" t="s">
        <v>664</v>
      </c>
      <c r="F140">
        <v>102516</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2</v>
      </c>
      <c r="AF140">
        <v>7</v>
      </c>
      <c r="AG140">
        <v>14</v>
      </c>
      <c r="AH140">
        <v>24</v>
      </c>
      <c r="AI140">
        <v>27</v>
      </c>
      <c r="AJ140">
        <v>29</v>
      </c>
      <c r="AK140">
        <v>39</v>
      </c>
      <c r="AL140">
        <v>52</v>
      </c>
      <c r="AM140">
        <v>75</v>
      </c>
      <c r="AN140">
        <v>93</v>
      </c>
      <c r="AO140">
        <v>110</v>
      </c>
      <c r="AP140">
        <v>135</v>
      </c>
      <c r="AQ140">
        <v>170</v>
      </c>
      <c r="AR140">
        <v>211</v>
      </c>
      <c r="AS140">
        <v>276</v>
      </c>
      <c r="AT140">
        <v>345</v>
      </c>
      <c r="AU140">
        <v>438</v>
      </c>
      <c r="AV140">
        <v>533</v>
      </c>
      <c r="AW140">
        <v>639</v>
      </c>
      <c r="AX140">
        <v>834</v>
      </c>
      <c r="AY140">
        <v>1019</v>
      </c>
      <c r="AZ140">
        <v>1273</v>
      </c>
      <c r="BA140">
        <v>1534</v>
      </c>
      <c r="BB140">
        <v>1794</v>
      </c>
      <c r="BC140">
        <v>2197</v>
      </c>
      <c r="BD140">
        <v>2608</v>
      </c>
      <c r="BE140">
        <v>2985</v>
      </c>
      <c r="BF140">
        <v>3295</v>
      </c>
      <c r="BG140">
        <v>3626</v>
      </c>
      <c r="BH140">
        <v>3946</v>
      </c>
      <c r="BI140">
        <v>4260</v>
      </c>
      <c r="BJ140">
        <v>4629</v>
      </c>
      <c r="BK140">
        <v>4965</v>
      </c>
      <c r="BL140">
        <v>5285</v>
      </c>
      <c r="BM140">
        <v>5585</v>
      </c>
      <c r="BN140">
        <v>5909</v>
      </c>
      <c r="BO140">
        <v>6216</v>
      </c>
      <c r="BP140">
        <v>6576</v>
      </c>
      <c r="BQ140">
        <v>6908</v>
      </c>
      <c r="BR140">
        <v>7218</v>
      </c>
      <c r="BS140">
        <v>7488</v>
      </c>
      <c r="BT140">
        <v>7720</v>
      </c>
      <c r="BU140">
        <v>7922</v>
      </c>
      <c r="BV140">
        <v>8153</v>
      </c>
      <c r="BW140">
        <v>8305</v>
      </c>
      <c r="BX140">
        <v>8413</v>
      </c>
      <c r="BY140">
        <v>8516</v>
      </c>
      <c r="BZ140">
        <v>8582</v>
      </c>
      <c r="CA140">
        <v>8627</v>
      </c>
      <c r="CB140">
        <v>8654</v>
      </c>
      <c r="CC140">
        <v>8681</v>
      </c>
      <c r="CD140">
        <v>8710</v>
      </c>
      <c r="CE140">
        <v>8733</v>
      </c>
      <c r="CF140">
        <v>8758</v>
      </c>
      <c r="CG140">
        <v>8760</v>
      </c>
      <c r="CH140">
        <v>8760</v>
      </c>
      <c r="CI140">
        <v>8760</v>
      </c>
      <c r="CJ140">
        <v>8760</v>
      </c>
      <c r="CK140">
        <v>8760</v>
      </c>
      <c r="CL140">
        <v>8760</v>
      </c>
      <c r="CM140">
        <v>8760</v>
      </c>
      <c r="CN140">
        <v>8760</v>
      </c>
      <c r="CO140">
        <v>8760</v>
      </c>
      <c r="CP140">
        <v>8760</v>
      </c>
      <c r="CQ140">
        <v>8760</v>
      </c>
      <c r="CR140">
        <v>8760</v>
      </c>
      <c r="CS140">
        <v>8760</v>
      </c>
      <c r="CT140">
        <v>8760</v>
      </c>
      <c r="CU140">
        <v>8760</v>
      </c>
      <c r="CV140">
        <v>8760</v>
      </c>
      <c r="CW140">
        <v>8760</v>
      </c>
      <c r="CX140">
        <v>8760</v>
      </c>
      <c r="CY140">
        <v>8760</v>
      </c>
      <c r="CZ140">
        <v>8760</v>
      </c>
      <c r="DA140">
        <v>8760</v>
      </c>
      <c r="DB140">
        <v>8760</v>
      </c>
    </row>
    <row r="141" spans="1:106" x14ac:dyDescent="0.25">
      <c r="A141" s="13" t="s">
        <v>159</v>
      </c>
      <c r="B141" t="s">
        <v>154</v>
      </c>
      <c r="C141" t="s">
        <v>438</v>
      </c>
      <c r="D141" t="s">
        <v>665</v>
      </c>
      <c r="E141" t="s">
        <v>666</v>
      </c>
      <c r="F141">
        <v>102807</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1</v>
      </c>
      <c r="AG141">
        <v>7</v>
      </c>
      <c r="AH141">
        <v>16</v>
      </c>
      <c r="AI141">
        <v>29</v>
      </c>
      <c r="AJ141">
        <v>52</v>
      </c>
      <c r="AK141">
        <v>81</v>
      </c>
      <c r="AL141">
        <v>117</v>
      </c>
      <c r="AM141">
        <v>156</v>
      </c>
      <c r="AN141">
        <v>232</v>
      </c>
      <c r="AO141">
        <v>276</v>
      </c>
      <c r="AP141">
        <v>327</v>
      </c>
      <c r="AQ141">
        <v>409</v>
      </c>
      <c r="AR141">
        <v>500</v>
      </c>
      <c r="AS141">
        <v>584</v>
      </c>
      <c r="AT141">
        <v>700</v>
      </c>
      <c r="AU141">
        <v>819</v>
      </c>
      <c r="AV141">
        <v>945</v>
      </c>
      <c r="AW141">
        <v>1067</v>
      </c>
      <c r="AX141">
        <v>1221</v>
      </c>
      <c r="AY141">
        <v>1446</v>
      </c>
      <c r="AZ141">
        <v>1685</v>
      </c>
      <c r="BA141">
        <v>1911</v>
      </c>
      <c r="BB141">
        <v>2176</v>
      </c>
      <c r="BC141">
        <v>2530</v>
      </c>
      <c r="BD141">
        <v>2857</v>
      </c>
      <c r="BE141">
        <v>3311</v>
      </c>
      <c r="BF141">
        <v>3761</v>
      </c>
      <c r="BG141">
        <v>4193</v>
      </c>
      <c r="BH141">
        <v>4538</v>
      </c>
      <c r="BI141">
        <v>4843</v>
      </c>
      <c r="BJ141">
        <v>5101</v>
      </c>
      <c r="BK141">
        <v>5377</v>
      </c>
      <c r="BL141">
        <v>5633</v>
      </c>
      <c r="BM141">
        <v>5868</v>
      </c>
      <c r="BN141">
        <v>6166</v>
      </c>
      <c r="BO141">
        <v>6509</v>
      </c>
      <c r="BP141">
        <v>6882</v>
      </c>
      <c r="BQ141">
        <v>7199</v>
      </c>
      <c r="BR141">
        <v>7544</v>
      </c>
      <c r="BS141">
        <v>7874</v>
      </c>
      <c r="BT141">
        <v>8105</v>
      </c>
      <c r="BU141">
        <v>8288</v>
      </c>
      <c r="BV141">
        <v>8434</v>
      </c>
      <c r="BW141">
        <v>8537</v>
      </c>
      <c r="BX141">
        <v>8613</v>
      </c>
      <c r="BY141">
        <v>8674</v>
      </c>
      <c r="BZ141">
        <v>8715</v>
      </c>
      <c r="CA141">
        <v>8741</v>
      </c>
      <c r="CB141">
        <v>8758</v>
      </c>
      <c r="CC141">
        <v>8760</v>
      </c>
      <c r="CD141">
        <v>8760</v>
      </c>
      <c r="CE141">
        <v>8760</v>
      </c>
      <c r="CF141">
        <v>8760</v>
      </c>
      <c r="CG141">
        <v>8760</v>
      </c>
      <c r="CH141">
        <v>8760</v>
      </c>
      <c r="CI141">
        <v>8760</v>
      </c>
      <c r="CJ141">
        <v>8760</v>
      </c>
      <c r="CK141">
        <v>8760</v>
      </c>
      <c r="CL141">
        <v>8760</v>
      </c>
      <c r="CM141">
        <v>8760</v>
      </c>
      <c r="CN141">
        <v>8760</v>
      </c>
      <c r="CO141">
        <v>8760</v>
      </c>
      <c r="CP141">
        <v>8760</v>
      </c>
      <c r="CQ141">
        <v>8760</v>
      </c>
      <c r="CR141">
        <v>8760</v>
      </c>
      <c r="CS141">
        <v>8760</v>
      </c>
      <c r="CT141">
        <v>8760</v>
      </c>
      <c r="CU141">
        <v>8760</v>
      </c>
      <c r="CV141">
        <v>8760</v>
      </c>
      <c r="CW141">
        <v>8760</v>
      </c>
      <c r="CX141">
        <v>8760</v>
      </c>
      <c r="CY141">
        <v>8760</v>
      </c>
      <c r="CZ141">
        <v>8760</v>
      </c>
      <c r="DA141">
        <v>8760</v>
      </c>
      <c r="DB141">
        <v>8760</v>
      </c>
    </row>
    <row r="142" spans="1:106" x14ac:dyDescent="0.25">
      <c r="A142" s="13" t="s">
        <v>160</v>
      </c>
      <c r="B142" t="s">
        <v>155</v>
      </c>
      <c r="C142" t="s">
        <v>438</v>
      </c>
      <c r="D142" t="s">
        <v>667</v>
      </c>
      <c r="E142" t="s">
        <v>668</v>
      </c>
      <c r="F142">
        <v>102113</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2</v>
      </c>
      <c r="AQ142">
        <v>10</v>
      </c>
      <c r="AR142">
        <v>22</v>
      </c>
      <c r="AS142">
        <v>32</v>
      </c>
      <c r="AT142">
        <v>44</v>
      </c>
      <c r="AU142">
        <v>61</v>
      </c>
      <c r="AV142">
        <v>88</v>
      </c>
      <c r="AW142">
        <v>115</v>
      </c>
      <c r="AX142">
        <v>161</v>
      </c>
      <c r="AY142">
        <v>216</v>
      </c>
      <c r="AZ142">
        <v>292</v>
      </c>
      <c r="BA142">
        <v>462</v>
      </c>
      <c r="BB142">
        <v>645</v>
      </c>
      <c r="BC142">
        <v>864</v>
      </c>
      <c r="BD142">
        <v>1096</v>
      </c>
      <c r="BE142">
        <v>1384</v>
      </c>
      <c r="BF142">
        <v>1750</v>
      </c>
      <c r="BG142">
        <v>2141</v>
      </c>
      <c r="BH142">
        <v>2688</v>
      </c>
      <c r="BI142">
        <v>3237</v>
      </c>
      <c r="BJ142">
        <v>3688</v>
      </c>
      <c r="BK142">
        <v>4075</v>
      </c>
      <c r="BL142">
        <v>4475</v>
      </c>
      <c r="BM142">
        <v>4785</v>
      </c>
      <c r="BN142">
        <v>5123</v>
      </c>
      <c r="BO142">
        <v>5465</v>
      </c>
      <c r="BP142">
        <v>5854</v>
      </c>
      <c r="BQ142">
        <v>6294</v>
      </c>
      <c r="BR142">
        <v>6705</v>
      </c>
      <c r="BS142">
        <v>7071</v>
      </c>
      <c r="BT142">
        <v>7400</v>
      </c>
      <c r="BU142">
        <v>7697</v>
      </c>
      <c r="BV142">
        <v>7948</v>
      </c>
      <c r="BW142">
        <v>8156</v>
      </c>
      <c r="BX142">
        <v>8308</v>
      </c>
      <c r="BY142">
        <v>8432</v>
      </c>
      <c r="BZ142">
        <v>8518</v>
      </c>
      <c r="CA142">
        <v>8602</v>
      </c>
      <c r="CB142">
        <v>8658</v>
      </c>
      <c r="CC142">
        <v>8692</v>
      </c>
      <c r="CD142">
        <v>8714</v>
      </c>
      <c r="CE142">
        <v>8733</v>
      </c>
      <c r="CF142">
        <v>8744</v>
      </c>
      <c r="CG142">
        <v>8753</v>
      </c>
      <c r="CH142">
        <v>8758</v>
      </c>
      <c r="CI142">
        <v>8760</v>
      </c>
      <c r="CJ142">
        <v>8760</v>
      </c>
      <c r="CK142">
        <v>8760</v>
      </c>
      <c r="CL142">
        <v>8760</v>
      </c>
      <c r="CM142">
        <v>8760</v>
      </c>
      <c r="CN142">
        <v>8760</v>
      </c>
      <c r="CO142">
        <v>8760</v>
      </c>
      <c r="CP142">
        <v>8760</v>
      </c>
      <c r="CQ142">
        <v>8760</v>
      </c>
      <c r="CR142">
        <v>8760</v>
      </c>
      <c r="CS142">
        <v>8760</v>
      </c>
      <c r="CT142">
        <v>8760</v>
      </c>
      <c r="CU142">
        <v>8760</v>
      </c>
      <c r="CV142">
        <v>8760</v>
      </c>
      <c r="CW142">
        <v>8760</v>
      </c>
      <c r="CX142">
        <v>8760</v>
      </c>
      <c r="CY142">
        <v>8760</v>
      </c>
      <c r="CZ142">
        <v>8760</v>
      </c>
      <c r="DA142">
        <v>8760</v>
      </c>
      <c r="DB142">
        <v>8760</v>
      </c>
    </row>
    <row r="143" spans="1:106" x14ac:dyDescent="0.25">
      <c r="A143" s="13" t="s">
        <v>161</v>
      </c>
      <c r="B143" t="s">
        <v>156</v>
      </c>
      <c r="C143" t="s">
        <v>438</v>
      </c>
      <c r="D143" t="s">
        <v>669</v>
      </c>
      <c r="E143" t="s">
        <v>670</v>
      </c>
      <c r="F143">
        <v>102508</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11</v>
      </c>
      <c r="AJ143">
        <v>17</v>
      </c>
      <c r="AK143">
        <v>20</v>
      </c>
      <c r="AL143">
        <v>24</v>
      </c>
      <c r="AM143">
        <v>28</v>
      </c>
      <c r="AN143">
        <v>43</v>
      </c>
      <c r="AO143">
        <v>56</v>
      </c>
      <c r="AP143">
        <v>96</v>
      </c>
      <c r="AQ143">
        <v>124</v>
      </c>
      <c r="AR143">
        <v>148</v>
      </c>
      <c r="AS143">
        <v>184</v>
      </c>
      <c r="AT143">
        <v>244</v>
      </c>
      <c r="AU143">
        <v>298</v>
      </c>
      <c r="AV143">
        <v>386</v>
      </c>
      <c r="AW143">
        <v>465</v>
      </c>
      <c r="AX143">
        <v>577</v>
      </c>
      <c r="AY143">
        <v>731</v>
      </c>
      <c r="AZ143">
        <v>909</v>
      </c>
      <c r="BA143">
        <v>1136</v>
      </c>
      <c r="BB143">
        <v>1434</v>
      </c>
      <c r="BC143">
        <v>1716</v>
      </c>
      <c r="BD143">
        <v>2076</v>
      </c>
      <c r="BE143">
        <v>2490</v>
      </c>
      <c r="BF143">
        <v>2875</v>
      </c>
      <c r="BG143">
        <v>3256</v>
      </c>
      <c r="BH143">
        <v>3633</v>
      </c>
      <c r="BI143">
        <v>3931</v>
      </c>
      <c r="BJ143">
        <v>4223</v>
      </c>
      <c r="BK143">
        <v>4607</v>
      </c>
      <c r="BL143">
        <v>4937</v>
      </c>
      <c r="BM143">
        <v>5299</v>
      </c>
      <c r="BN143">
        <v>5669</v>
      </c>
      <c r="BO143">
        <v>6071</v>
      </c>
      <c r="BP143">
        <v>6442</v>
      </c>
      <c r="BQ143">
        <v>6766</v>
      </c>
      <c r="BR143">
        <v>7093</v>
      </c>
      <c r="BS143">
        <v>7402</v>
      </c>
      <c r="BT143">
        <v>7702</v>
      </c>
      <c r="BU143">
        <v>7967</v>
      </c>
      <c r="BV143">
        <v>8195</v>
      </c>
      <c r="BW143">
        <v>8379</v>
      </c>
      <c r="BX143">
        <v>8534</v>
      </c>
      <c r="BY143">
        <v>8637</v>
      </c>
      <c r="BZ143">
        <v>8714</v>
      </c>
      <c r="CA143">
        <v>8736</v>
      </c>
      <c r="CB143">
        <v>8748</v>
      </c>
      <c r="CC143">
        <v>8754</v>
      </c>
      <c r="CD143">
        <v>8759</v>
      </c>
      <c r="CE143">
        <v>8760</v>
      </c>
      <c r="CF143">
        <v>8760</v>
      </c>
      <c r="CG143">
        <v>8760</v>
      </c>
      <c r="CH143">
        <v>8760</v>
      </c>
      <c r="CI143">
        <v>8760</v>
      </c>
      <c r="CJ143">
        <v>8760</v>
      </c>
      <c r="CK143">
        <v>8760</v>
      </c>
      <c r="CL143">
        <v>8760</v>
      </c>
      <c r="CM143">
        <v>8760</v>
      </c>
      <c r="CN143">
        <v>8760</v>
      </c>
      <c r="CO143">
        <v>8760</v>
      </c>
      <c r="CP143">
        <v>8760</v>
      </c>
      <c r="CQ143">
        <v>8760</v>
      </c>
      <c r="CR143">
        <v>8760</v>
      </c>
      <c r="CS143">
        <v>8760</v>
      </c>
      <c r="CT143">
        <v>8760</v>
      </c>
      <c r="CU143">
        <v>8760</v>
      </c>
      <c r="CV143">
        <v>8760</v>
      </c>
      <c r="CW143">
        <v>8760</v>
      </c>
      <c r="CX143">
        <v>8760</v>
      </c>
      <c r="CY143">
        <v>8760</v>
      </c>
      <c r="CZ143">
        <v>8760</v>
      </c>
      <c r="DA143">
        <v>8760</v>
      </c>
      <c r="DB143">
        <v>8760</v>
      </c>
    </row>
    <row r="144" spans="1:106" x14ac:dyDescent="0.25">
      <c r="A144" s="13" t="s">
        <v>162</v>
      </c>
      <c r="B144" t="s">
        <v>387</v>
      </c>
    </row>
    <row r="145" spans="1:106" x14ac:dyDescent="0.25">
      <c r="A145" s="13" t="s">
        <v>163</v>
      </c>
      <c r="B145" t="s">
        <v>157</v>
      </c>
      <c r="C145" t="s">
        <v>438</v>
      </c>
      <c r="D145" t="s">
        <v>671</v>
      </c>
      <c r="E145" t="s">
        <v>672</v>
      </c>
      <c r="F145">
        <v>102513</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1</v>
      </c>
      <c r="AL145">
        <v>5</v>
      </c>
      <c r="AM145">
        <v>7</v>
      </c>
      <c r="AN145">
        <v>17</v>
      </c>
      <c r="AO145">
        <v>40</v>
      </c>
      <c r="AP145">
        <v>70</v>
      </c>
      <c r="AQ145">
        <v>96</v>
      </c>
      <c r="AR145">
        <v>135</v>
      </c>
      <c r="AS145">
        <v>181</v>
      </c>
      <c r="AT145">
        <v>223</v>
      </c>
      <c r="AU145">
        <v>269</v>
      </c>
      <c r="AV145">
        <v>339</v>
      </c>
      <c r="AW145">
        <v>412</v>
      </c>
      <c r="AX145">
        <v>525</v>
      </c>
      <c r="AY145">
        <v>672</v>
      </c>
      <c r="AZ145">
        <v>840</v>
      </c>
      <c r="BA145">
        <v>1084</v>
      </c>
      <c r="BB145">
        <v>1393</v>
      </c>
      <c r="BC145">
        <v>1709</v>
      </c>
      <c r="BD145">
        <v>2079</v>
      </c>
      <c r="BE145">
        <v>2473</v>
      </c>
      <c r="BF145">
        <v>2891</v>
      </c>
      <c r="BG145">
        <v>3269</v>
      </c>
      <c r="BH145">
        <v>3665</v>
      </c>
      <c r="BI145">
        <v>4045</v>
      </c>
      <c r="BJ145">
        <v>4379</v>
      </c>
      <c r="BK145">
        <v>4693</v>
      </c>
      <c r="BL145">
        <v>5004</v>
      </c>
      <c r="BM145">
        <v>5309</v>
      </c>
      <c r="BN145">
        <v>5538</v>
      </c>
      <c r="BO145">
        <v>5796</v>
      </c>
      <c r="BP145">
        <v>6128</v>
      </c>
      <c r="BQ145">
        <v>6484</v>
      </c>
      <c r="BR145">
        <v>6859</v>
      </c>
      <c r="BS145">
        <v>7239</v>
      </c>
      <c r="BT145">
        <v>7525</v>
      </c>
      <c r="BU145">
        <v>7779</v>
      </c>
      <c r="BV145">
        <v>8003</v>
      </c>
      <c r="BW145">
        <v>8202</v>
      </c>
      <c r="BX145">
        <v>8354</v>
      </c>
      <c r="BY145">
        <v>8487</v>
      </c>
      <c r="BZ145">
        <v>8575</v>
      </c>
      <c r="CA145">
        <v>8646</v>
      </c>
      <c r="CB145">
        <v>8691</v>
      </c>
      <c r="CC145">
        <v>8719</v>
      </c>
      <c r="CD145">
        <v>8730</v>
      </c>
      <c r="CE145">
        <v>8738</v>
      </c>
      <c r="CF145">
        <v>8748</v>
      </c>
      <c r="CG145">
        <v>8753</v>
      </c>
      <c r="CH145">
        <v>8759</v>
      </c>
      <c r="CI145">
        <v>8760</v>
      </c>
      <c r="CJ145">
        <v>8760</v>
      </c>
      <c r="CK145">
        <v>8760</v>
      </c>
      <c r="CL145">
        <v>8760</v>
      </c>
      <c r="CM145">
        <v>8760</v>
      </c>
      <c r="CN145">
        <v>8760</v>
      </c>
      <c r="CO145">
        <v>8760</v>
      </c>
      <c r="CP145">
        <v>8760</v>
      </c>
      <c r="CQ145">
        <v>8760</v>
      </c>
      <c r="CR145">
        <v>8760</v>
      </c>
      <c r="CS145">
        <v>8760</v>
      </c>
      <c r="CT145">
        <v>8760</v>
      </c>
      <c r="CU145">
        <v>8760</v>
      </c>
      <c r="CV145">
        <v>8760</v>
      </c>
      <c r="CW145">
        <v>8760</v>
      </c>
      <c r="CX145">
        <v>8760</v>
      </c>
      <c r="CY145">
        <v>8760</v>
      </c>
      <c r="CZ145">
        <v>8760</v>
      </c>
      <c r="DA145">
        <v>8760</v>
      </c>
      <c r="DB145">
        <v>8760</v>
      </c>
    </row>
    <row r="146" spans="1:106" x14ac:dyDescent="0.25">
      <c r="A146" s="13" t="s">
        <v>164</v>
      </c>
      <c r="B146" t="s">
        <v>159</v>
      </c>
      <c r="C146" t="s">
        <v>438</v>
      </c>
      <c r="D146" t="s">
        <v>673</v>
      </c>
      <c r="E146" t="s">
        <v>674</v>
      </c>
      <c r="F146">
        <v>102315</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5</v>
      </c>
      <c r="AT146">
        <v>17</v>
      </c>
      <c r="AU146">
        <v>38</v>
      </c>
      <c r="AV146">
        <v>62</v>
      </c>
      <c r="AW146">
        <v>90</v>
      </c>
      <c r="AX146">
        <v>158</v>
      </c>
      <c r="AY146">
        <v>221</v>
      </c>
      <c r="AZ146">
        <v>315</v>
      </c>
      <c r="BA146">
        <v>430</v>
      </c>
      <c r="BB146">
        <v>562</v>
      </c>
      <c r="BC146">
        <v>785</v>
      </c>
      <c r="BD146">
        <v>1078</v>
      </c>
      <c r="BE146">
        <v>1538</v>
      </c>
      <c r="BF146">
        <v>1974</v>
      </c>
      <c r="BG146">
        <v>2395</v>
      </c>
      <c r="BH146">
        <v>2789</v>
      </c>
      <c r="BI146">
        <v>3223</v>
      </c>
      <c r="BJ146">
        <v>3623</v>
      </c>
      <c r="BK146">
        <v>4018</v>
      </c>
      <c r="BL146">
        <v>4369</v>
      </c>
      <c r="BM146">
        <v>4715</v>
      </c>
      <c r="BN146">
        <v>5041</v>
      </c>
      <c r="BO146">
        <v>5394</v>
      </c>
      <c r="BP146">
        <v>5833</v>
      </c>
      <c r="BQ146">
        <v>6309</v>
      </c>
      <c r="BR146">
        <v>6890</v>
      </c>
      <c r="BS146">
        <v>7359</v>
      </c>
      <c r="BT146">
        <v>7742</v>
      </c>
      <c r="BU146">
        <v>8008</v>
      </c>
      <c r="BV146">
        <v>8231</v>
      </c>
      <c r="BW146">
        <v>8407</v>
      </c>
      <c r="BX146">
        <v>8519</v>
      </c>
      <c r="BY146">
        <v>8591</v>
      </c>
      <c r="BZ146">
        <v>8652</v>
      </c>
      <c r="CA146">
        <v>8695</v>
      </c>
      <c r="CB146">
        <v>8713</v>
      </c>
      <c r="CC146">
        <v>8733</v>
      </c>
      <c r="CD146">
        <v>8749</v>
      </c>
      <c r="CE146">
        <v>8760</v>
      </c>
      <c r="CF146">
        <v>8760</v>
      </c>
      <c r="CG146">
        <v>8760</v>
      </c>
      <c r="CH146">
        <v>8760</v>
      </c>
      <c r="CI146">
        <v>8760</v>
      </c>
      <c r="CJ146">
        <v>8760</v>
      </c>
      <c r="CK146">
        <v>8760</v>
      </c>
      <c r="CL146">
        <v>8760</v>
      </c>
      <c r="CM146">
        <v>8760</v>
      </c>
      <c r="CN146">
        <v>8760</v>
      </c>
      <c r="CO146">
        <v>8760</v>
      </c>
      <c r="CP146">
        <v>8760</v>
      </c>
      <c r="CQ146">
        <v>8760</v>
      </c>
      <c r="CR146">
        <v>8760</v>
      </c>
      <c r="CS146">
        <v>8760</v>
      </c>
      <c r="CT146">
        <v>8760</v>
      </c>
      <c r="CU146">
        <v>8760</v>
      </c>
      <c r="CV146">
        <v>8760</v>
      </c>
      <c r="CW146">
        <v>8760</v>
      </c>
      <c r="CX146">
        <v>8760</v>
      </c>
      <c r="CY146">
        <v>8760</v>
      </c>
      <c r="CZ146">
        <v>8760</v>
      </c>
      <c r="DA146">
        <v>8760</v>
      </c>
      <c r="DB146">
        <v>8760</v>
      </c>
    </row>
    <row r="147" spans="1:106" x14ac:dyDescent="0.25">
      <c r="A147" s="13" t="s">
        <v>165</v>
      </c>
      <c r="B147" t="s">
        <v>160</v>
      </c>
      <c r="C147" t="s">
        <v>438</v>
      </c>
      <c r="D147" t="s">
        <v>675</v>
      </c>
      <c r="E147" t="s">
        <v>676</v>
      </c>
      <c r="F147">
        <v>102633</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4</v>
      </c>
      <c r="AK147">
        <v>5</v>
      </c>
      <c r="AL147">
        <v>15</v>
      </c>
      <c r="AM147">
        <v>31</v>
      </c>
      <c r="AN147">
        <v>45</v>
      </c>
      <c r="AO147">
        <v>62</v>
      </c>
      <c r="AP147">
        <v>88</v>
      </c>
      <c r="AQ147">
        <v>107</v>
      </c>
      <c r="AR147">
        <v>127</v>
      </c>
      <c r="AS147">
        <v>151</v>
      </c>
      <c r="AT147">
        <v>184</v>
      </c>
      <c r="AU147">
        <v>226</v>
      </c>
      <c r="AV147">
        <v>279</v>
      </c>
      <c r="AW147">
        <v>362</v>
      </c>
      <c r="AX147">
        <v>455</v>
      </c>
      <c r="AY147">
        <v>569</v>
      </c>
      <c r="AZ147">
        <v>724</v>
      </c>
      <c r="BA147">
        <v>962</v>
      </c>
      <c r="BB147">
        <v>1230</v>
      </c>
      <c r="BC147">
        <v>1566</v>
      </c>
      <c r="BD147">
        <v>1969</v>
      </c>
      <c r="BE147">
        <v>2378</v>
      </c>
      <c r="BF147">
        <v>2740</v>
      </c>
      <c r="BG147">
        <v>3094</v>
      </c>
      <c r="BH147">
        <v>3504</v>
      </c>
      <c r="BI147">
        <v>3860</v>
      </c>
      <c r="BJ147">
        <v>4191</v>
      </c>
      <c r="BK147">
        <v>4535</v>
      </c>
      <c r="BL147">
        <v>4845</v>
      </c>
      <c r="BM147">
        <v>5130</v>
      </c>
      <c r="BN147">
        <v>5483</v>
      </c>
      <c r="BO147">
        <v>5823</v>
      </c>
      <c r="BP147">
        <v>6132</v>
      </c>
      <c r="BQ147">
        <v>6475</v>
      </c>
      <c r="BR147">
        <v>6822</v>
      </c>
      <c r="BS147">
        <v>7136</v>
      </c>
      <c r="BT147">
        <v>7407</v>
      </c>
      <c r="BU147">
        <v>7687</v>
      </c>
      <c r="BV147">
        <v>7914</v>
      </c>
      <c r="BW147">
        <v>8119</v>
      </c>
      <c r="BX147">
        <v>8284</v>
      </c>
      <c r="BY147">
        <v>8410</v>
      </c>
      <c r="BZ147">
        <v>8496</v>
      </c>
      <c r="CA147">
        <v>8562</v>
      </c>
      <c r="CB147">
        <v>8616</v>
      </c>
      <c r="CC147">
        <v>8653</v>
      </c>
      <c r="CD147">
        <v>8690</v>
      </c>
      <c r="CE147">
        <v>8721</v>
      </c>
      <c r="CF147">
        <v>8737</v>
      </c>
      <c r="CG147">
        <v>8753</v>
      </c>
      <c r="CH147">
        <v>8760</v>
      </c>
      <c r="CI147">
        <v>8760</v>
      </c>
      <c r="CJ147">
        <v>8760</v>
      </c>
      <c r="CK147">
        <v>8760</v>
      </c>
      <c r="CL147">
        <v>8760</v>
      </c>
      <c r="CM147">
        <v>8760</v>
      </c>
      <c r="CN147">
        <v>8760</v>
      </c>
      <c r="CO147">
        <v>8760</v>
      </c>
      <c r="CP147">
        <v>8760</v>
      </c>
      <c r="CQ147">
        <v>8760</v>
      </c>
      <c r="CR147">
        <v>8760</v>
      </c>
      <c r="CS147">
        <v>8760</v>
      </c>
      <c r="CT147">
        <v>8760</v>
      </c>
      <c r="CU147">
        <v>8760</v>
      </c>
      <c r="CV147">
        <v>8760</v>
      </c>
      <c r="CW147">
        <v>8760</v>
      </c>
      <c r="CX147">
        <v>8760</v>
      </c>
      <c r="CY147">
        <v>8760</v>
      </c>
      <c r="CZ147">
        <v>8760</v>
      </c>
      <c r="DA147">
        <v>8760</v>
      </c>
      <c r="DB147">
        <v>8760</v>
      </c>
    </row>
    <row r="148" spans="1:106" x14ac:dyDescent="0.25">
      <c r="A148" s="13" t="s">
        <v>166</v>
      </c>
      <c r="B148" t="s">
        <v>388</v>
      </c>
      <c r="C148" t="s">
        <v>438</v>
      </c>
      <c r="D148" t="s">
        <v>677</v>
      </c>
      <c r="E148" t="s">
        <v>678</v>
      </c>
      <c r="F148">
        <v>102202</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7</v>
      </c>
      <c r="AP148">
        <v>8</v>
      </c>
      <c r="AQ148">
        <v>17</v>
      </c>
      <c r="AR148">
        <v>22</v>
      </c>
      <c r="AS148">
        <v>28</v>
      </c>
      <c r="AT148">
        <v>44</v>
      </c>
      <c r="AU148">
        <v>65</v>
      </c>
      <c r="AV148">
        <v>97</v>
      </c>
      <c r="AW148">
        <v>142</v>
      </c>
      <c r="AX148">
        <v>178</v>
      </c>
      <c r="AY148">
        <v>228</v>
      </c>
      <c r="AZ148">
        <v>292</v>
      </c>
      <c r="BA148">
        <v>404</v>
      </c>
      <c r="BB148">
        <v>626</v>
      </c>
      <c r="BC148">
        <v>888</v>
      </c>
      <c r="BD148">
        <v>1200</v>
      </c>
      <c r="BE148">
        <v>1649</v>
      </c>
      <c r="BF148">
        <v>2140</v>
      </c>
      <c r="BG148">
        <v>2583</v>
      </c>
      <c r="BH148">
        <v>3073</v>
      </c>
      <c r="BI148">
        <v>3489</v>
      </c>
      <c r="BJ148">
        <v>3820</v>
      </c>
      <c r="BK148">
        <v>4117</v>
      </c>
      <c r="BL148">
        <v>4447</v>
      </c>
      <c r="BM148">
        <v>4794</v>
      </c>
      <c r="BN148">
        <v>5072</v>
      </c>
      <c r="BO148">
        <v>5430</v>
      </c>
      <c r="BP148">
        <v>5806</v>
      </c>
      <c r="BQ148">
        <v>6247</v>
      </c>
      <c r="BR148">
        <v>6661</v>
      </c>
      <c r="BS148">
        <v>7122</v>
      </c>
      <c r="BT148">
        <v>7484</v>
      </c>
      <c r="BU148">
        <v>7758</v>
      </c>
      <c r="BV148">
        <v>7972</v>
      </c>
      <c r="BW148">
        <v>8130</v>
      </c>
      <c r="BX148">
        <v>8262</v>
      </c>
      <c r="BY148">
        <v>8384</v>
      </c>
      <c r="BZ148">
        <v>8483</v>
      </c>
      <c r="CA148">
        <v>8566</v>
      </c>
      <c r="CB148">
        <v>8649</v>
      </c>
      <c r="CC148">
        <v>8695</v>
      </c>
      <c r="CD148">
        <v>8718</v>
      </c>
      <c r="CE148">
        <v>8725</v>
      </c>
      <c r="CF148">
        <v>8741</v>
      </c>
      <c r="CG148">
        <v>8753</v>
      </c>
      <c r="CH148">
        <v>8757</v>
      </c>
      <c r="CI148">
        <v>8760</v>
      </c>
      <c r="CJ148">
        <v>8760</v>
      </c>
      <c r="CK148">
        <v>8760</v>
      </c>
      <c r="CL148">
        <v>8760</v>
      </c>
      <c r="CM148">
        <v>8760</v>
      </c>
      <c r="CN148">
        <v>8760</v>
      </c>
      <c r="CO148">
        <v>8760</v>
      </c>
      <c r="CP148">
        <v>8760</v>
      </c>
      <c r="CQ148">
        <v>8760</v>
      </c>
      <c r="CR148">
        <v>8760</v>
      </c>
      <c r="CS148">
        <v>8760</v>
      </c>
      <c r="CT148">
        <v>8760</v>
      </c>
      <c r="CU148">
        <v>8760</v>
      </c>
      <c r="CV148">
        <v>8760</v>
      </c>
      <c r="CW148">
        <v>8760</v>
      </c>
      <c r="CX148">
        <v>8760</v>
      </c>
      <c r="CY148">
        <v>8760</v>
      </c>
      <c r="CZ148">
        <v>8760</v>
      </c>
      <c r="DA148">
        <v>8760</v>
      </c>
      <c r="DB148">
        <v>8760</v>
      </c>
    </row>
    <row r="149" spans="1:106" x14ac:dyDescent="0.25">
      <c r="A149" s="13" t="s">
        <v>167</v>
      </c>
      <c r="B149" t="s">
        <v>161</v>
      </c>
      <c r="C149" t="s">
        <v>438</v>
      </c>
      <c r="D149" t="s">
        <v>679</v>
      </c>
      <c r="E149" t="s">
        <v>680</v>
      </c>
      <c r="F149">
        <v>102007</v>
      </c>
      <c r="G149">
        <v>0</v>
      </c>
      <c r="H149">
        <v>0</v>
      </c>
      <c r="I149">
        <v>0</v>
      </c>
      <c r="J149">
        <v>0</v>
      </c>
      <c r="K149">
        <v>0</v>
      </c>
      <c r="L149">
        <v>0</v>
      </c>
      <c r="M149">
        <v>0</v>
      </c>
      <c r="N149">
        <v>0</v>
      </c>
      <c r="O149">
        <v>0</v>
      </c>
      <c r="P149">
        <v>0</v>
      </c>
      <c r="Q149">
        <v>0</v>
      </c>
      <c r="R149">
        <v>0</v>
      </c>
      <c r="S149">
        <v>0</v>
      </c>
      <c r="T149">
        <v>0</v>
      </c>
      <c r="U149">
        <v>0</v>
      </c>
      <c r="V149">
        <v>0</v>
      </c>
      <c r="W149">
        <v>0</v>
      </c>
      <c r="X149">
        <v>0</v>
      </c>
      <c r="Y149">
        <v>0</v>
      </c>
      <c r="Z149">
        <v>6</v>
      </c>
      <c r="AA149">
        <v>28</v>
      </c>
      <c r="AB149">
        <v>44</v>
      </c>
      <c r="AC149">
        <v>64</v>
      </c>
      <c r="AD149">
        <v>98</v>
      </c>
      <c r="AE149">
        <v>144</v>
      </c>
      <c r="AF149">
        <v>186</v>
      </c>
      <c r="AG149">
        <v>240</v>
      </c>
      <c r="AH149">
        <v>310</v>
      </c>
      <c r="AI149">
        <v>393</v>
      </c>
      <c r="AJ149">
        <v>481</v>
      </c>
      <c r="AK149">
        <v>543</v>
      </c>
      <c r="AL149">
        <v>625</v>
      </c>
      <c r="AM149">
        <v>734</v>
      </c>
      <c r="AN149">
        <v>830</v>
      </c>
      <c r="AO149">
        <v>927</v>
      </c>
      <c r="AP149">
        <v>1062</v>
      </c>
      <c r="AQ149">
        <v>1217</v>
      </c>
      <c r="AR149">
        <v>1399</v>
      </c>
      <c r="AS149">
        <v>1558</v>
      </c>
      <c r="AT149">
        <v>1753</v>
      </c>
      <c r="AU149">
        <v>1960</v>
      </c>
      <c r="AV149">
        <v>2177</v>
      </c>
      <c r="AW149">
        <v>2376</v>
      </c>
      <c r="AX149">
        <v>2619</v>
      </c>
      <c r="AY149">
        <v>2806</v>
      </c>
      <c r="AZ149">
        <v>3042</v>
      </c>
      <c r="BA149">
        <v>3290</v>
      </c>
      <c r="BB149">
        <v>3540</v>
      </c>
      <c r="BC149">
        <v>3820</v>
      </c>
      <c r="BD149">
        <v>4079</v>
      </c>
      <c r="BE149">
        <v>4439</v>
      </c>
      <c r="BF149">
        <v>4803</v>
      </c>
      <c r="BG149">
        <v>5152</v>
      </c>
      <c r="BH149">
        <v>5488</v>
      </c>
      <c r="BI149">
        <v>5788</v>
      </c>
      <c r="BJ149">
        <v>6106</v>
      </c>
      <c r="BK149">
        <v>6426</v>
      </c>
      <c r="BL149">
        <v>6690</v>
      </c>
      <c r="BM149">
        <v>6975</v>
      </c>
      <c r="BN149">
        <v>7293</v>
      </c>
      <c r="BO149">
        <v>7591</v>
      </c>
      <c r="BP149">
        <v>7866</v>
      </c>
      <c r="BQ149">
        <v>8121</v>
      </c>
      <c r="BR149">
        <v>8339</v>
      </c>
      <c r="BS149">
        <v>8484</v>
      </c>
      <c r="BT149">
        <v>8578</v>
      </c>
      <c r="BU149">
        <v>8653</v>
      </c>
      <c r="BV149">
        <v>8710</v>
      </c>
      <c r="BW149">
        <v>8741</v>
      </c>
      <c r="BX149">
        <v>8759</v>
      </c>
      <c r="BY149">
        <v>8760</v>
      </c>
      <c r="BZ149">
        <v>8760</v>
      </c>
      <c r="CA149">
        <v>8760</v>
      </c>
      <c r="CB149">
        <v>8760</v>
      </c>
      <c r="CC149">
        <v>8760</v>
      </c>
      <c r="CD149">
        <v>8760</v>
      </c>
      <c r="CE149">
        <v>8760</v>
      </c>
      <c r="CF149">
        <v>8760</v>
      </c>
      <c r="CG149">
        <v>8760</v>
      </c>
      <c r="CH149">
        <v>8760</v>
      </c>
      <c r="CI149">
        <v>8760</v>
      </c>
      <c r="CJ149">
        <v>8760</v>
      </c>
      <c r="CK149">
        <v>8760</v>
      </c>
      <c r="CL149">
        <v>8760</v>
      </c>
      <c r="CM149">
        <v>8760</v>
      </c>
      <c r="CN149">
        <v>8760</v>
      </c>
      <c r="CO149">
        <v>8760</v>
      </c>
      <c r="CP149">
        <v>8760</v>
      </c>
      <c r="CQ149">
        <v>8760</v>
      </c>
      <c r="CR149">
        <v>8760</v>
      </c>
      <c r="CS149">
        <v>8760</v>
      </c>
      <c r="CT149">
        <v>8760</v>
      </c>
      <c r="CU149">
        <v>8760</v>
      </c>
      <c r="CV149">
        <v>8760</v>
      </c>
      <c r="CW149">
        <v>8760</v>
      </c>
      <c r="CX149">
        <v>8760</v>
      </c>
      <c r="CY149">
        <v>8760</v>
      </c>
      <c r="CZ149">
        <v>8760</v>
      </c>
      <c r="DA149">
        <v>8760</v>
      </c>
      <c r="DB149">
        <v>8760</v>
      </c>
    </row>
    <row r="150" spans="1:106" x14ac:dyDescent="0.25">
      <c r="A150" s="13" t="s">
        <v>168</v>
      </c>
      <c r="B150" t="s">
        <v>389</v>
      </c>
      <c r="C150" t="s">
        <v>438</v>
      </c>
      <c r="D150" t="s">
        <v>681</v>
      </c>
      <c r="E150" t="s">
        <v>682</v>
      </c>
      <c r="F150">
        <v>102124</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6</v>
      </c>
      <c r="AS150">
        <v>10</v>
      </c>
      <c r="AT150">
        <v>19</v>
      </c>
      <c r="AU150">
        <v>28</v>
      </c>
      <c r="AV150">
        <v>40</v>
      </c>
      <c r="AW150">
        <v>66</v>
      </c>
      <c r="AX150">
        <v>83</v>
      </c>
      <c r="AY150">
        <v>113</v>
      </c>
      <c r="AZ150">
        <v>166</v>
      </c>
      <c r="BA150">
        <v>260</v>
      </c>
      <c r="BB150">
        <v>452</v>
      </c>
      <c r="BC150">
        <v>721</v>
      </c>
      <c r="BD150">
        <v>1093</v>
      </c>
      <c r="BE150">
        <v>1455</v>
      </c>
      <c r="BF150">
        <v>1861</v>
      </c>
      <c r="BG150">
        <v>2244</v>
      </c>
      <c r="BH150">
        <v>2609</v>
      </c>
      <c r="BI150">
        <v>3018</v>
      </c>
      <c r="BJ150">
        <v>3441</v>
      </c>
      <c r="BK150">
        <v>3841</v>
      </c>
      <c r="BL150">
        <v>4182</v>
      </c>
      <c r="BM150">
        <v>4510</v>
      </c>
      <c r="BN150">
        <v>4876</v>
      </c>
      <c r="BO150">
        <v>5249</v>
      </c>
      <c r="BP150">
        <v>5674</v>
      </c>
      <c r="BQ150">
        <v>6127</v>
      </c>
      <c r="BR150">
        <v>6617</v>
      </c>
      <c r="BS150">
        <v>7098</v>
      </c>
      <c r="BT150">
        <v>7519</v>
      </c>
      <c r="BU150">
        <v>7875</v>
      </c>
      <c r="BV150">
        <v>8138</v>
      </c>
      <c r="BW150">
        <v>8334</v>
      </c>
      <c r="BX150">
        <v>8486</v>
      </c>
      <c r="BY150">
        <v>8578</v>
      </c>
      <c r="BZ150">
        <v>8631</v>
      </c>
      <c r="CA150">
        <v>8672</v>
      </c>
      <c r="CB150">
        <v>8690</v>
      </c>
      <c r="CC150">
        <v>8713</v>
      </c>
      <c r="CD150">
        <v>8724</v>
      </c>
      <c r="CE150">
        <v>8735</v>
      </c>
      <c r="CF150">
        <v>8742</v>
      </c>
      <c r="CG150">
        <v>8753</v>
      </c>
      <c r="CH150">
        <v>8760</v>
      </c>
      <c r="CI150">
        <v>8760</v>
      </c>
      <c r="CJ150">
        <v>8760</v>
      </c>
      <c r="CK150">
        <v>8760</v>
      </c>
      <c r="CL150">
        <v>8760</v>
      </c>
      <c r="CM150">
        <v>8760</v>
      </c>
      <c r="CN150">
        <v>8760</v>
      </c>
      <c r="CO150">
        <v>8760</v>
      </c>
      <c r="CP150">
        <v>8760</v>
      </c>
      <c r="CQ150">
        <v>8760</v>
      </c>
      <c r="CR150">
        <v>8760</v>
      </c>
      <c r="CS150">
        <v>8760</v>
      </c>
      <c r="CT150">
        <v>8760</v>
      </c>
      <c r="CU150">
        <v>8760</v>
      </c>
      <c r="CV150">
        <v>8760</v>
      </c>
      <c r="CW150">
        <v>8760</v>
      </c>
      <c r="CX150">
        <v>8760</v>
      </c>
      <c r="CY150">
        <v>8760</v>
      </c>
      <c r="CZ150">
        <v>8760</v>
      </c>
      <c r="DA150">
        <v>8760</v>
      </c>
      <c r="DB150">
        <v>8760</v>
      </c>
    </row>
    <row r="151" spans="1:106" x14ac:dyDescent="0.25">
      <c r="A151" s="13" t="s">
        <v>169</v>
      </c>
      <c r="B151" t="s">
        <v>152</v>
      </c>
      <c r="C151" t="s">
        <v>438</v>
      </c>
      <c r="D151" t="s">
        <v>683</v>
      </c>
      <c r="E151" t="s">
        <v>684</v>
      </c>
      <c r="F151">
        <v>102602</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4</v>
      </c>
      <c r="AK151">
        <v>7</v>
      </c>
      <c r="AL151">
        <v>21</v>
      </c>
      <c r="AM151">
        <v>37</v>
      </c>
      <c r="AN151">
        <v>51</v>
      </c>
      <c r="AO151">
        <v>66</v>
      </c>
      <c r="AP151">
        <v>92</v>
      </c>
      <c r="AQ151">
        <v>112</v>
      </c>
      <c r="AR151">
        <v>130</v>
      </c>
      <c r="AS151">
        <v>162</v>
      </c>
      <c r="AT151">
        <v>197</v>
      </c>
      <c r="AU151">
        <v>233</v>
      </c>
      <c r="AV151">
        <v>294</v>
      </c>
      <c r="AW151">
        <v>372</v>
      </c>
      <c r="AX151">
        <v>469</v>
      </c>
      <c r="AY151">
        <v>590</v>
      </c>
      <c r="AZ151">
        <v>763</v>
      </c>
      <c r="BA151">
        <v>1001</v>
      </c>
      <c r="BB151">
        <v>1279</v>
      </c>
      <c r="BC151">
        <v>1626</v>
      </c>
      <c r="BD151">
        <v>2012</v>
      </c>
      <c r="BE151">
        <v>2437</v>
      </c>
      <c r="BF151">
        <v>2782</v>
      </c>
      <c r="BG151">
        <v>3166</v>
      </c>
      <c r="BH151">
        <v>3544</v>
      </c>
      <c r="BI151">
        <v>3903</v>
      </c>
      <c r="BJ151">
        <v>4269</v>
      </c>
      <c r="BK151">
        <v>4605</v>
      </c>
      <c r="BL151">
        <v>4918</v>
      </c>
      <c r="BM151">
        <v>5201</v>
      </c>
      <c r="BN151">
        <v>5548</v>
      </c>
      <c r="BO151">
        <v>5852</v>
      </c>
      <c r="BP151">
        <v>6166</v>
      </c>
      <c r="BQ151">
        <v>6500</v>
      </c>
      <c r="BR151">
        <v>6859</v>
      </c>
      <c r="BS151">
        <v>7160</v>
      </c>
      <c r="BT151">
        <v>7421</v>
      </c>
      <c r="BU151">
        <v>7696</v>
      </c>
      <c r="BV151">
        <v>7916</v>
      </c>
      <c r="BW151">
        <v>8129</v>
      </c>
      <c r="BX151">
        <v>8290</v>
      </c>
      <c r="BY151">
        <v>8419</v>
      </c>
      <c r="BZ151">
        <v>8503</v>
      </c>
      <c r="CA151">
        <v>8573</v>
      </c>
      <c r="CB151">
        <v>8622</v>
      </c>
      <c r="CC151">
        <v>8656</v>
      </c>
      <c r="CD151">
        <v>8691</v>
      </c>
      <c r="CE151">
        <v>8720</v>
      </c>
      <c r="CF151">
        <v>8733</v>
      </c>
      <c r="CG151">
        <v>8753</v>
      </c>
      <c r="CH151">
        <v>8760</v>
      </c>
      <c r="CI151">
        <v>8760</v>
      </c>
      <c r="CJ151">
        <v>8760</v>
      </c>
      <c r="CK151">
        <v>8760</v>
      </c>
      <c r="CL151">
        <v>8760</v>
      </c>
      <c r="CM151">
        <v>8760</v>
      </c>
      <c r="CN151">
        <v>8760</v>
      </c>
      <c r="CO151">
        <v>8760</v>
      </c>
      <c r="CP151">
        <v>8760</v>
      </c>
      <c r="CQ151">
        <v>8760</v>
      </c>
      <c r="CR151">
        <v>8760</v>
      </c>
      <c r="CS151">
        <v>8760</v>
      </c>
      <c r="CT151">
        <v>8760</v>
      </c>
      <c r="CU151">
        <v>8760</v>
      </c>
      <c r="CV151">
        <v>8760</v>
      </c>
      <c r="CW151">
        <v>8760</v>
      </c>
      <c r="CX151">
        <v>8760</v>
      </c>
      <c r="CY151">
        <v>8760</v>
      </c>
      <c r="CZ151">
        <v>8760</v>
      </c>
      <c r="DA151">
        <v>8760</v>
      </c>
      <c r="DB151">
        <v>8760</v>
      </c>
    </row>
    <row r="152" spans="1:106" x14ac:dyDescent="0.25">
      <c r="A152" s="13" t="s">
        <v>170</v>
      </c>
      <c r="B152" t="s">
        <v>162</v>
      </c>
      <c r="C152" t="s">
        <v>438</v>
      </c>
      <c r="D152" t="s">
        <v>685</v>
      </c>
      <c r="E152" t="s">
        <v>686</v>
      </c>
      <c r="F152">
        <v>102301</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1</v>
      </c>
      <c r="AP152">
        <v>4</v>
      </c>
      <c r="AQ152">
        <v>7</v>
      </c>
      <c r="AR152">
        <v>11</v>
      </c>
      <c r="AS152">
        <v>25</v>
      </c>
      <c r="AT152">
        <v>48</v>
      </c>
      <c r="AU152">
        <v>70</v>
      </c>
      <c r="AV152">
        <v>88</v>
      </c>
      <c r="AW152">
        <v>115</v>
      </c>
      <c r="AX152">
        <v>163</v>
      </c>
      <c r="AY152">
        <v>237</v>
      </c>
      <c r="AZ152">
        <v>342</v>
      </c>
      <c r="BA152">
        <v>433</v>
      </c>
      <c r="BB152">
        <v>595</v>
      </c>
      <c r="BC152">
        <v>814</v>
      </c>
      <c r="BD152">
        <v>1075</v>
      </c>
      <c r="BE152">
        <v>1495</v>
      </c>
      <c r="BF152">
        <v>1991</v>
      </c>
      <c r="BG152">
        <v>2438</v>
      </c>
      <c r="BH152">
        <v>2899</v>
      </c>
      <c r="BI152">
        <v>3384</v>
      </c>
      <c r="BJ152">
        <v>3825</v>
      </c>
      <c r="BK152">
        <v>4203</v>
      </c>
      <c r="BL152">
        <v>4547</v>
      </c>
      <c r="BM152">
        <v>4871</v>
      </c>
      <c r="BN152">
        <v>5251</v>
      </c>
      <c r="BO152">
        <v>5583</v>
      </c>
      <c r="BP152">
        <v>5990</v>
      </c>
      <c r="BQ152">
        <v>6414</v>
      </c>
      <c r="BR152">
        <v>6770</v>
      </c>
      <c r="BS152">
        <v>7104</v>
      </c>
      <c r="BT152">
        <v>7428</v>
      </c>
      <c r="BU152">
        <v>7688</v>
      </c>
      <c r="BV152">
        <v>7899</v>
      </c>
      <c r="BW152">
        <v>8104</v>
      </c>
      <c r="BX152">
        <v>8247</v>
      </c>
      <c r="BY152">
        <v>8378</v>
      </c>
      <c r="BZ152">
        <v>8493</v>
      </c>
      <c r="CA152">
        <v>8572</v>
      </c>
      <c r="CB152">
        <v>8640</v>
      </c>
      <c r="CC152">
        <v>8688</v>
      </c>
      <c r="CD152">
        <v>8715</v>
      </c>
      <c r="CE152">
        <v>8737</v>
      </c>
      <c r="CF152">
        <v>8747</v>
      </c>
      <c r="CG152">
        <v>8752</v>
      </c>
      <c r="CH152">
        <v>8758</v>
      </c>
      <c r="CI152">
        <v>8760</v>
      </c>
      <c r="CJ152">
        <v>8760</v>
      </c>
      <c r="CK152">
        <v>8760</v>
      </c>
      <c r="CL152">
        <v>8760</v>
      </c>
      <c r="CM152">
        <v>8760</v>
      </c>
      <c r="CN152">
        <v>8760</v>
      </c>
      <c r="CO152">
        <v>8760</v>
      </c>
      <c r="CP152">
        <v>8760</v>
      </c>
      <c r="CQ152">
        <v>8760</v>
      </c>
      <c r="CR152">
        <v>8760</v>
      </c>
      <c r="CS152">
        <v>8760</v>
      </c>
      <c r="CT152">
        <v>8760</v>
      </c>
      <c r="CU152">
        <v>8760</v>
      </c>
      <c r="CV152">
        <v>8760</v>
      </c>
      <c r="CW152">
        <v>8760</v>
      </c>
      <c r="CX152">
        <v>8760</v>
      </c>
      <c r="CY152">
        <v>8760</v>
      </c>
      <c r="CZ152">
        <v>8760</v>
      </c>
      <c r="DA152">
        <v>8760</v>
      </c>
      <c r="DB152">
        <v>8760</v>
      </c>
    </row>
    <row r="153" spans="1:106" x14ac:dyDescent="0.25">
      <c r="A153" s="13" t="s">
        <v>171</v>
      </c>
      <c r="B153" t="s">
        <v>163</v>
      </c>
      <c r="C153" t="s">
        <v>438</v>
      </c>
      <c r="D153" t="s">
        <v>687</v>
      </c>
      <c r="E153" t="s">
        <v>688</v>
      </c>
      <c r="F153">
        <v>102108</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10</v>
      </c>
      <c r="AT153">
        <v>19</v>
      </c>
      <c r="AU153">
        <v>40</v>
      </c>
      <c r="AV153">
        <v>54</v>
      </c>
      <c r="AW153">
        <v>93</v>
      </c>
      <c r="AX153">
        <v>122</v>
      </c>
      <c r="AY153">
        <v>156</v>
      </c>
      <c r="AZ153">
        <v>183</v>
      </c>
      <c r="BA153">
        <v>261</v>
      </c>
      <c r="BB153">
        <v>405</v>
      </c>
      <c r="BC153">
        <v>598</v>
      </c>
      <c r="BD153">
        <v>923</v>
      </c>
      <c r="BE153">
        <v>1249</v>
      </c>
      <c r="BF153">
        <v>1616</v>
      </c>
      <c r="BG153">
        <v>2014</v>
      </c>
      <c r="BH153">
        <v>2486</v>
      </c>
      <c r="BI153">
        <v>2982</v>
      </c>
      <c r="BJ153">
        <v>3507</v>
      </c>
      <c r="BK153">
        <v>3919</v>
      </c>
      <c r="BL153">
        <v>4253</v>
      </c>
      <c r="BM153">
        <v>4552</v>
      </c>
      <c r="BN153">
        <v>4881</v>
      </c>
      <c r="BO153">
        <v>5313</v>
      </c>
      <c r="BP153">
        <v>5757</v>
      </c>
      <c r="BQ153">
        <v>6236</v>
      </c>
      <c r="BR153">
        <v>6695</v>
      </c>
      <c r="BS153">
        <v>7143</v>
      </c>
      <c r="BT153">
        <v>7571</v>
      </c>
      <c r="BU153">
        <v>7944</v>
      </c>
      <c r="BV153">
        <v>8174</v>
      </c>
      <c r="BW153">
        <v>8383</v>
      </c>
      <c r="BX153">
        <v>8496</v>
      </c>
      <c r="BY153">
        <v>8585</v>
      </c>
      <c r="BZ153">
        <v>8630</v>
      </c>
      <c r="CA153">
        <v>8658</v>
      </c>
      <c r="CB153">
        <v>8688</v>
      </c>
      <c r="CC153">
        <v>8712</v>
      </c>
      <c r="CD153">
        <v>8732</v>
      </c>
      <c r="CE153">
        <v>8746</v>
      </c>
      <c r="CF153">
        <v>8757</v>
      </c>
      <c r="CG153">
        <v>8760</v>
      </c>
      <c r="CH153">
        <v>8760</v>
      </c>
      <c r="CI153">
        <v>8760</v>
      </c>
      <c r="CJ153">
        <v>8760</v>
      </c>
      <c r="CK153">
        <v>8760</v>
      </c>
      <c r="CL153">
        <v>8760</v>
      </c>
      <c r="CM153">
        <v>8760</v>
      </c>
      <c r="CN153">
        <v>8760</v>
      </c>
      <c r="CO153">
        <v>8760</v>
      </c>
      <c r="CP153">
        <v>8760</v>
      </c>
      <c r="CQ153">
        <v>8760</v>
      </c>
      <c r="CR153">
        <v>8760</v>
      </c>
      <c r="CS153">
        <v>8760</v>
      </c>
      <c r="CT153">
        <v>8760</v>
      </c>
      <c r="CU153">
        <v>8760</v>
      </c>
      <c r="CV153">
        <v>8760</v>
      </c>
      <c r="CW153">
        <v>8760</v>
      </c>
      <c r="CX153">
        <v>8760</v>
      </c>
      <c r="CY153">
        <v>8760</v>
      </c>
      <c r="CZ153">
        <v>8760</v>
      </c>
      <c r="DA153">
        <v>8760</v>
      </c>
      <c r="DB153">
        <v>8760</v>
      </c>
    </row>
    <row r="154" spans="1:106" x14ac:dyDescent="0.25">
      <c r="A154" s="13" t="s">
        <v>172</v>
      </c>
      <c r="B154" t="s">
        <v>391</v>
      </c>
      <c r="C154" t="s">
        <v>438</v>
      </c>
      <c r="D154" t="s">
        <v>689</v>
      </c>
      <c r="E154" t="s">
        <v>690</v>
      </c>
      <c r="F154">
        <v>102511</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1</v>
      </c>
      <c r="AM154">
        <v>4</v>
      </c>
      <c r="AN154">
        <v>7</v>
      </c>
      <c r="AO154">
        <v>17</v>
      </c>
      <c r="AP154">
        <v>41</v>
      </c>
      <c r="AQ154">
        <v>76</v>
      </c>
      <c r="AR154">
        <v>110</v>
      </c>
      <c r="AS154">
        <v>143</v>
      </c>
      <c r="AT154">
        <v>185</v>
      </c>
      <c r="AU154">
        <v>222</v>
      </c>
      <c r="AV154">
        <v>258</v>
      </c>
      <c r="AW154">
        <v>336</v>
      </c>
      <c r="AX154">
        <v>477</v>
      </c>
      <c r="AY154">
        <v>627</v>
      </c>
      <c r="AZ154">
        <v>828</v>
      </c>
      <c r="BA154">
        <v>1035</v>
      </c>
      <c r="BB154">
        <v>1331</v>
      </c>
      <c r="BC154">
        <v>1645</v>
      </c>
      <c r="BD154">
        <v>2028</v>
      </c>
      <c r="BE154">
        <v>2451</v>
      </c>
      <c r="BF154">
        <v>2905</v>
      </c>
      <c r="BG154">
        <v>3328</v>
      </c>
      <c r="BH154">
        <v>3709</v>
      </c>
      <c r="BI154">
        <v>4075</v>
      </c>
      <c r="BJ154">
        <v>4383</v>
      </c>
      <c r="BK154">
        <v>4704</v>
      </c>
      <c r="BL154">
        <v>4976</v>
      </c>
      <c r="BM154">
        <v>5266</v>
      </c>
      <c r="BN154">
        <v>5606</v>
      </c>
      <c r="BO154">
        <v>5980</v>
      </c>
      <c r="BP154">
        <v>6309</v>
      </c>
      <c r="BQ154">
        <v>6653</v>
      </c>
      <c r="BR154">
        <v>6997</v>
      </c>
      <c r="BS154">
        <v>7315</v>
      </c>
      <c r="BT154">
        <v>7602</v>
      </c>
      <c r="BU154">
        <v>7895</v>
      </c>
      <c r="BV154">
        <v>8139</v>
      </c>
      <c r="BW154">
        <v>8322</v>
      </c>
      <c r="BX154">
        <v>8421</v>
      </c>
      <c r="BY154">
        <v>8509</v>
      </c>
      <c r="BZ154">
        <v>8583</v>
      </c>
      <c r="CA154">
        <v>8628</v>
      </c>
      <c r="CB154">
        <v>8664</v>
      </c>
      <c r="CC154">
        <v>8704</v>
      </c>
      <c r="CD154">
        <v>8718</v>
      </c>
      <c r="CE154">
        <v>8740</v>
      </c>
      <c r="CF154">
        <v>8756</v>
      </c>
      <c r="CG154">
        <v>8760</v>
      </c>
      <c r="CH154">
        <v>8760</v>
      </c>
      <c r="CI154">
        <v>8760</v>
      </c>
      <c r="CJ154">
        <v>8760</v>
      </c>
      <c r="CK154">
        <v>8760</v>
      </c>
      <c r="CL154">
        <v>8760</v>
      </c>
      <c r="CM154">
        <v>8760</v>
      </c>
      <c r="CN154">
        <v>8760</v>
      </c>
      <c r="CO154">
        <v>8760</v>
      </c>
      <c r="CP154">
        <v>8760</v>
      </c>
      <c r="CQ154">
        <v>8760</v>
      </c>
      <c r="CR154">
        <v>8760</v>
      </c>
      <c r="CS154">
        <v>8760</v>
      </c>
      <c r="CT154">
        <v>8760</v>
      </c>
      <c r="CU154">
        <v>8760</v>
      </c>
      <c r="CV154">
        <v>8760</v>
      </c>
      <c r="CW154">
        <v>8760</v>
      </c>
      <c r="CX154">
        <v>8760</v>
      </c>
      <c r="CY154">
        <v>8760</v>
      </c>
      <c r="CZ154">
        <v>8760</v>
      </c>
      <c r="DA154">
        <v>8760</v>
      </c>
      <c r="DB154">
        <v>8760</v>
      </c>
    </row>
    <row r="155" spans="1:106" x14ac:dyDescent="0.25">
      <c r="A155" s="13" t="s">
        <v>173</v>
      </c>
      <c r="B155" t="s">
        <v>165</v>
      </c>
      <c r="C155" t="s">
        <v>438</v>
      </c>
      <c r="D155" t="s">
        <v>691</v>
      </c>
      <c r="E155" t="s">
        <v>692</v>
      </c>
      <c r="F155">
        <v>102529</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1</v>
      </c>
      <c r="AL155">
        <v>3</v>
      </c>
      <c r="AM155">
        <v>7</v>
      </c>
      <c r="AN155">
        <v>16</v>
      </c>
      <c r="AO155">
        <v>37</v>
      </c>
      <c r="AP155">
        <v>62</v>
      </c>
      <c r="AQ155">
        <v>93</v>
      </c>
      <c r="AR155">
        <v>116</v>
      </c>
      <c r="AS155">
        <v>147</v>
      </c>
      <c r="AT155">
        <v>189</v>
      </c>
      <c r="AU155">
        <v>233</v>
      </c>
      <c r="AV155">
        <v>292</v>
      </c>
      <c r="AW155">
        <v>368</v>
      </c>
      <c r="AX155">
        <v>485</v>
      </c>
      <c r="AY155">
        <v>648</v>
      </c>
      <c r="AZ155">
        <v>803</v>
      </c>
      <c r="BA155">
        <v>1044</v>
      </c>
      <c r="BB155">
        <v>1325</v>
      </c>
      <c r="BC155">
        <v>1621</v>
      </c>
      <c r="BD155">
        <v>1973</v>
      </c>
      <c r="BE155">
        <v>2429</v>
      </c>
      <c r="BF155">
        <v>2865</v>
      </c>
      <c r="BG155">
        <v>3279</v>
      </c>
      <c r="BH155">
        <v>3643</v>
      </c>
      <c r="BI155">
        <v>3985</v>
      </c>
      <c r="BJ155">
        <v>4333</v>
      </c>
      <c r="BK155">
        <v>4719</v>
      </c>
      <c r="BL155">
        <v>5107</v>
      </c>
      <c r="BM155">
        <v>5397</v>
      </c>
      <c r="BN155">
        <v>5725</v>
      </c>
      <c r="BO155">
        <v>6051</v>
      </c>
      <c r="BP155">
        <v>6388</v>
      </c>
      <c r="BQ155">
        <v>6727</v>
      </c>
      <c r="BR155">
        <v>7034</v>
      </c>
      <c r="BS155">
        <v>7315</v>
      </c>
      <c r="BT155">
        <v>7586</v>
      </c>
      <c r="BU155">
        <v>7825</v>
      </c>
      <c r="BV155">
        <v>8007</v>
      </c>
      <c r="BW155">
        <v>8178</v>
      </c>
      <c r="BX155">
        <v>8301</v>
      </c>
      <c r="BY155">
        <v>8417</v>
      </c>
      <c r="BZ155">
        <v>8488</v>
      </c>
      <c r="CA155">
        <v>8547</v>
      </c>
      <c r="CB155">
        <v>8592</v>
      </c>
      <c r="CC155">
        <v>8630</v>
      </c>
      <c r="CD155">
        <v>8665</v>
      </c>
      <c r="CE155">
        <v>8699</v>
      </c>
      <c r="CF155">
        <v>8733</v>
      </c>
      <c r="CG155">
        <v>8746</v>
      </c>
      <c r="CH155">
        <v>8754</v>
      </c>
      <c r="CI155">
        <v>8756</v>
      </c>
      <c r="CJ155">
        <v>8758</v>
      </c>
      <c r="CK155">
        <v>8759</v>
      </c>
      <c r="CL155">
        <v>8760</v>
      </c>
      <c r="CM155">
        <v>8760</v>
      </c>
      <c r="CN155">
        <v>8760</v>
      </c>
      <c r="CO155">
        <v>8760</v>
      </c>
      <c r="CP155">
        <v>8760</v>
      </c>
      <c r="CQ155">
        <v>8760</v>
      </c>
      <c r="CR155">
        <v>8760</v>
      </c>
      <c r="CS155">
        <v>8760</v>
      </c>
      <c r="CT155">
        <v>8760</v>
      </c>
      <c r="CU155">
        <v>8760</v>
      </c>
      <c r="CV155">
        <v>8760</v>
      </c>
      <c r="CW155">
        <v>8760</v>
      </c>
      <c r="CX155">
        <v>8760</v>
      </c>
      <c r="CY155">
        <v>8760</v>
      </c>
      <c r="CZ155">
        <v>8760</v>
      </c>
      <c r="DA155">
        <v>8760</v>
      </c>
      <c r="DB155">
        <v>8760</v>
      </c>
    </row>
    <row r="156" spans="1:106" x14ac:dyDescent="0.25">
      <c r="A156" s="13" t="s">
        <v>174</v>
      </c>
      <c r="B156" t="s">
        <v>166</v>
      </c>
      <c r="C156" t="s">
        <v>438</v>
      </c>
      <c r="D156" t="s">
        <v>693</v>
      </c>
      <c r="E156" t="s">
        <v>694</v>
      </c>
      <c r="F156">
        <v>102706</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3</v>
      </c>
      <c r="AH156">
        <v>7</v>
      </c>
      <c r="AI156">
        <v>13</v>
      </c>
      <c r="AJ156">
        <v>25</v>
      </c>
      <c r="AK156">
        <v>33</v>
      </c>
      <c r="AL156">
        <v>41</v>
      </c>
      <c r="AM156">
        <v>58</v>
      </c>
      <c r="AN156">
        <v>95</v>
      </c>
      <c r="AO156">
        <v>127</v>
      </c>
      <c r="AP156">
        <v>172</v>
      </c>
      <c r="AQ156">
        <v>238</v>
      </c>
      <c r="AR156">
        <v>290</v>
      </c>
      <c r="AS156">
        <v>379</v>
      </c>
      <c r="AT156">
        <v>478</v>
      </c>
      <c r="AU156">
        <v>593</v>
      </c>
      <c r="AV156">
        <v>733</v>
      </c>
      <c r="AW156">
        <v>897</v>
      </c>
      <c r="AX156">
        <v>1082</v>
      </c>
      <c r="AY156">
        <v>1352</v>
      </c>
      <c r="AZ156">
        <v>1640</v>
      </c>
      <c r="BA156">
        <v>1950</v>
      </c>
      <c r="BB156">
        <v>2225</v>
      </c>
      <c r="BC156">
        <v>2500</v>
      </c>
      <c r="BD156">
        <v>2906</v>
      </c>
      <c r="BE156">
        <v>3252</v>
      </c>
      <c r="BF156">
        <v>3642</v>
      </c>
      <c r="BG156">
        <v>3966</v>
      </c>
      <c r="BH156">
        <v>4294</v>
      </c>
      <c r="BI156">
        <v>4596</v>
      </c>
      <c r="BJ156">
        <v>4860</v>
      </c>
      <c r="BK156">
        <v>5149</v>
      </c>
      <c r="BL156">
        <v>5429</v>
      </c>
      <c r="BM156">
        <v>5780</v>
      </c>
      <c r="BN156">
        <v>6119</v>
      </c>
      <c r="BO156">
        <v>6453</v>
      </c>
      <c r="BP156">
        <v>6801</v>
      </c>
      <c r="BQ156">
        <v>7149</v>
      </c>
      <c r="BR156">
        <v>7493</v>
      </c>
      <c r="BS156">
        <v>7766</v>
      </c>
      <c r="BT156">
        <v>7989</v>
      </c>
      <c r="BU156">
        <v>8184</v>
      </c>
      <c r="BV156">
        <v>8332</v>
      </c>
      <c r="BW156">
        <v>8443</v>
      </c>
      <c r="BX156">
        <v>8536</v>
      </c>
      <c r="BY156">
        <v>8602</v>
      </c>
      <c r="BZ156">
        <v>8672</v>
      </c>
      <c r="CA156">
        <v>8705</v>
      </c>
      <c r="CB156">
        <v>8730</v>
      </c>
      <c r="CC156">
        <v>8747</v>
      </c>
      <c r="CD156">
        <v>8760</v>
      </c>
      <c r="CE156">
        <v>8760</v>
      </c>
      <c r="CF156">
        <v>8760</v>
      </c>
      <c r="CG156">
        <v>8760</v>
      </c>
      <c r="CH156">
        <v>8760</v>
      </c>
      <c r="CI156">
        <v>8760</v>
      </c>
      <c r="CJ156">
        <v>8760</v>
      </c>
      <c r="CK156">
        <v>8760</v>
      </c>
      <c r="CL156">
        <v>8760</v>
      </c>
      <c r="CM156">
        <v>8760</v>
      </c>
      <c r="CN156">
        <v>8760</v>
      </c>
      <c r="CO156">
        <v>8760</v>
      </c>
      <c r="CP156">
        <v>8760</v>
      </c>
      <c r="CQ156">
        <v>8760</v>
      </c>
      <c r="CR156">
        <v>8760</v>
      </c>
      <c r="CS156">
        <v>8760</v>
      </c>
      <c r="CT156">
        <v>8760</v>
      </c>
      <c r="CU156">
        <v>8760</v>
      </c>
      <c r="CV156">
        <v>8760</v>
      </c>
      <c r="CW156">
        <v>8760</v>
      </c>
      <c r="CX156">
        <v>8760</v>
      </c>
      <c r="CY156">
        <v>8760</v>
      </c>
      <c r="CZ156">
        <v>8760</v>
      </c>
      <c r="DA156">
        <v>8760</v>
      </c>
      <c r="DB156">
        <v>8760</v>
      </c>
    </row>
    <row r="157" spans="1:106" x14ac:dyDescent="0.25">
      <c r="A157" s="13" t="s">
        <v>175</v>
      </c>
      <c r="B157" t="s">
        <v>167</v>
      </c>
      <c r="C157" t="s">
        <v>438</v>
      </c>
      <c r="D157" t="s">
        <v>695</v>
      </c>
      <c r="E157" t="s">
        <v>696</v>
      </c>
      <c r="F157">
        <v>102203</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7</v>
      </c>
      <c r="AP157">
        <v>9</v>
      </c>
      <c r="AQ157">
        <v>11</v>
      </c>
      <c r="AR157">
        <v>20</v>
      </c>
      <c r="AS157">
        <v>44</v>
      </c>
      <c r="AT157">
        <v>57</v>
      </c>
      <c r="AU157">
        <v>70</v>
      </c>
      <c r="AV157">
        <v>98</v>
      </c>
      <c r="AW157">
        <v>131</v>
      </c>
      <c r="AX157">
        <v>188</v>
      </c>
      <c r="AY157">
        <v>271</v>
      </c>
      <c r="AZ157">
        <v>366</v>
      </c>
      <c r="BA157">
        <v>495</v>
      </c>
      <c r="BB157">
        <v>705</v>
      </c>
      <c r="BC157">
        <v>969</v>
      </c>
      <c r="BD157">
        <v>1270</v>
      </c>
      <c r="BE157">
        <v>1649</v>
      </c>
      <c r="BF157">
        <v>2096</v>
      </c>
      <c r="BG157">
        <v>2578</v>
      </c>
      <c r="BH157">
        <v>2991</v>
      </c>
      <c r="BI157">
        <v>3357</v>
      </c>
      <c r="BJ157">
        <v>3794</v>
      </c>
      <c r="BK157">
        <v>4285</v>
      </c>
      <c r="BL157">
        <v>4676</v>
      </c>
      <c r="BM157">
        <v>5031</v>
      </c>
      <c r="BN157">
        <v>5447</v>
      </c>
      <c r="BO157">
        <v>5829</v>
      </c>
      <c r="BP157">
        <v>6177</v>
      </c>
      <c r="BQ157">
        <v>6568</v>
      </c>
      <c r="BR157">
        <v>6927</v>
      </c>
      <c r="BS157">
        <v>7299</v>
      </c>
      <c r="BT157">
        <v>7638</v>
      </c>
      <c r="BU157">
        <v>7908</v>
      </c>
      <c r="BV157">
        <v>8135</v>
      </c>
      <c r="BW157">
        <v>8313</v>
      </c>
      <c r="BX157">
        <v>8424</v>
      </c>
      <c r="BY157">
        <v>8510</v>
      </c>
      <c r="BZ157">
        <v>8573</v>
      </c>
      <c r="CA157">
        <v>8632</v>
      </c>
      <c r="CB157">
        <v>8676</v>
      </c>
      <c r="CC157">
        <v>8707</v>
      </c>
      <c r="CD157">
        <v>8730</v>
      </c>
      <c r="CE157">
        <v>8742</v>
      </c>
      <c r="CF157">
        <v>8752</v>
      </c>
      <c r="CG157">
        <v>8759</v>
      </c>
      <c r="CH157">
        <v>8760</v>
      </c>
      <c r="CI157">
        <v>8760</v>
      </c>
      <c r="CJ157">
        <v>8760</v>
      </c>
      <c r="CK157">
        <v>8760</v>
      </c>
      <c r="CL157">
        <v>8760</v>
      </c>
      <c r="CM157">
        <v>8760</v>
      </c>
      <c r="CN157">
        <v>8760</v>
      </c>
      <c r="CO157">
        <v>8760</v>
      </c>
      <c r="CP157">
        <v>8760</v>
      </c>
      <c r="CQ157">
        <v>8760</v>
      </c>
      <c r="CR157">
        <v>8760</v>
      </c>
      <c r="CS157">
        <v>8760</v>
      </c>
      <c r="CT157">
        <v>8760</v>
      </c>
      <c r="CU157">
        <v>8760</v>
      </c>
      <c r="CV157">
        <v>8760</v>
      </c>
      <c r="CW157">
        <v>8760</v>
      </c>
      <c r="CX157">
        <v>8760</v>
      </c>
      <c r="CY157">
        <v>8760</v>
      </c>
      <c r="CZ157">
        <v>8760</v>
      </c>
      <c r="DA157">
        <v>8760</v>
      </c>
      <c r="DB157">
        <v>8760</v>
      </c>
    </row>
    <row r="158" spans="1:106" x14ac:dyDescent="0.25">
      <c r="A158" s="13" t="s">
        <v>176</v>
      </c>
      <c r="B158" t="s">
        <v>168</v>
      </c>
      <c r="C158" t="s">
        <v>438</v>
      </c>
      <c r="D158" t="s">
        <v>697</v>
      </c>
      <c r="E158" t="s">
        <v>698</v>
      </c>
      <c r="F158">
        <v>102310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2</v>
      </c>
      <c r="AM158">
        <v>6</v>
      </c>
      <c r="AN158">
        <v>12</v>
      </c>
      <c r="AO158">
        <v>15</v>
      </c>
      <c r="AP158">
        <v>19</v>
      </c>
      <c r="AQ158">
        <v>28</v>
      </c>
      <c r="AR158">
        <v>52</v>
      </c>
      <c r="AS158">
        <v>75</v>
      </c>
      <c r="AT158">
        <v>113</v>
      </c>
      <c r="AU158">
        <v>156</v>
      </c>
      <c r="AV158">
        <v>200</v>
      </c>
      <c r="AW158">
        <v>277</v>
      </c>
      <c r="AX158">
        <v>372</v>
      </c>
      <c r="AY158">
        <v>495</v>
      </c>
      <c r="AZ158">
        <v>678</v>
      </c>
      <c r="BA158">
        <v>929</v>
      </c>
      <c r="BB158">
        <v>1206</v>
      </c>
      <c r="BC158">
        <v>1481</v>
      </c>
      <c r="BD158">
        <v>1829</v>
      </c>
      <c r="BE158">
        <v>2250</v>
      </c>
      <c r="BF158">
        <v>2689</v>
      </c>
      <c r="BG158">
        <v>3084</v>
      </c>
      <c r="BH158">
        <v>3479</v>
      </c>
      <c r="BI158">
        <v>3879</v>
      </c>
      <c r="BJ158">
        <v>4219</v>
      </c>
      <c r="BK158">
        <v>4644</v>
      </c>
      <c r="BL158">
        <v>5057</v>
      </c>
      <c r="BM158">
        <v>5412</v>
      </c>
      <c r="BN158">
        <v>5709</v>
      </c>
      <c r="BO158">
        <v>6054</v>
      </c>
      <c r="BP158">
        <v>6397</v>
      </c>
      <c r="BQ158">
        <v>6751</v>
      </c>
      <c r="BR158">
        <v>7092</v>
      </c>
      <c r="BS158">
        <v>7378</v>
      </c>
      <c r="BT158">
        <v>7610</v>
      </c>
      <c r="BU158">
        <v>7802</v>
      </c>
      <c r="BV158">
        <v>7983</v>
      </c>
      <c r="BW158">
        <v>8146</v>
      </c>
      <c r="BX158">
        <v>8264</v>
      </c>
      <c r="BY158">
        <v>8360</v>
      </c>
      <c r="BZ158">
        <v>8464</v>
      </c>
      <c r="CA158">
        <v>8561</v>
      </c>
      <c r="CB158">
        <v>8620</v>
      </c>
      <c r="CC158">
        <v>8673</v>
      </c>
      <c r="CD158">
        <v>8707</v>
      </c>
      <c r="CE158">
        <v>8731</v>
      </c>
      <c r="CF158">
        <v>8746</v>
      </c>
      <c r="CG158">
        <v>8752</v>
      </c>
      <c r="CH158">
        <v>8760</v>
      </c>
      <c r="CI158">
        <v>8760</v>
      </c>
      <c r="CJ158">
        <v>8760</v>
      </c>
      <c r="CK158">
        <v>8760</v>
      </c>
      <c r="CL158">
        <v>8760</v>
      </c>
      <c r="CM158">
        <v>8760</v>
      </c>
      <c r="CN158">
        <v>8760</v>
      </c>
      <c r="CO158">
        <v>8760</v>
      </c>
      <c r="CP158">
        <v>8760</v>
      </c>
      <c r="CQ158">
        <v>8760</v>
      </c>
      <c r="CR158">
        <v>8760</v>
      </c>
      <c r="CS158">
        <v>8760</v>
      </c>
      <c r="CT158">
        <v>8760</v>
      </c>
      <c r="CU158">
        <v>8760</v>
      </c>
      <c r="CV158">
        <v>8760</v>
      </c>
      <c r="CW158">
        <v>8760</v>
      </c>
      <c r="CX158">
        <v>8760</v>
      </c>
      <c r="CY158">
        <v>8760</v>
      </c>
      <c r="CZ158">
        <v>8760</v>
      </c>
      <c r="DA158">
        <v>8760</v>
      </c>
      <c r="DB158">
        <v>8760</v>
      </c>
    </row>
    <row r="159" spans="1:106" x14ac:dyDescent="0.25">
      <c r="A159" s="13" t="s">
        <v>177</v>
      </c>
      <c r="B159" t="s">
        <v>169</v>
      </c>
      <c r="C159" t="s">
        <v>438</v>
      </c>
      <c r="D159" t="s">
        <v>699</v>
      </c>
      <c r="E159" t="s">
        <v>700</v>
      </c>
      <c r="F159">
        <v>102647</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1</v>
      </c>
      <c r="AP159">
        <v>4</v>
      </c>
      <c r="AQ159">
        <v>8</v>
      </c>
      <c r="AR159">
        <v>10</v>
      </c>
      <c r="AS159">
        <v>29</v>
      </c>
      <c r="AT159">
        <v>54</v>
      </c>
      <c r="AU159">
        <v>83</v>
      </c>
      <c r="AV159">
        <v>116</v>
      </c>
      <c r="AW159">
        <v>166</v>
      </c>
      <c r="AX159">
        <v>252</v>
      </c>
      <c r="AY159">
        <v>377</v>
      </c>
      <c r="AZ159">
        <v>521</v>
      </c>
      <c r="BA159">
        <v>688</v>
      </c>
      <c r="BB159">
        <v>930</v>
      </c>
      <c r="BC159">
        <v>1242</v>
      </c>
      <c r="BD159">
        <v>1630</v>
      </c>
      <c r="BE159">
        <v>2052</v>
      </c>
      <c r="BF159">
        <v>2467</v>
      </c>
      <c r="BG159">
        <v>2923</v>
      </c>
      <c r="BH159">
        <v>3337</v>
      </c>
      <c r="BI159">
        <v>3738</v>
      </c>
      <c r="BJ159">
        <v>4153</v>
      </c>
      <c r="BK159">
        <v>4494</v>
      </c>
      <c r="BL159">
        <v>4820</v>
      </c>
      <c r="BM159">
        <v>5096</v>
      </c>
      <c r="BN159">
        <v>5440</v>
      </c>
      <c r="BO159">
        <v>5801</v>
      </c>
      <c r="BP159">
        <v>6171</v>
      </c>
      <c r="BQ159">
        <v>6490</v>
      </c>
      <c r="BR159">
        <v>6847</v>
      </c>
      <c r="BS159">
        <v>7206</v>
      </c>
      <c r="BT159">
        <v>7510</v>
      </c>
      <c r="BU159">
        <v>7756</v>
      </c>
      <c r="BV159">
        <v>7999</v>
      </c>
      <c r="BW159">
        <v>8210</v>
      </c>
      <c r="BX159">
        <v>8382</v>
      </c>
      <c r="BY159">
        <v>8495</v>
      </c>
      <c r="BZ159">
        <v>8584</v>
      </c>
      <c r="CA159">
        <v>8640</v>
      </c>
      <c r="CB159">
        <v>8677</v>
      </c>
      <c r="CC159">
        <v>8706</v>
      </c>
      <c r="CD159">
        <v>8729</v>
      </c>
      <c r="CE159">
        <v>8740</v>
      </c>
      <c r="CF159">
        <v>8751</v>
      </c>
      <c r="CG159">
        <v>8756</v>
      </c>
      <c r="CH159">
        <v>8760</v>
      </c>
      <c r="CI159">
        <v>8760</v>
      </c>
      <c r="CJ159">
        <v>8760</v>
      </c>
      <c r="CK159">
        <v>8760</v>
      </c>
      <c r="CL159">
        <v>8760</v>
      </c>
      <c r="CM159">
        <v>8760</v>
      </c>
      <c r="CN159">
        <v>8760</v>
      </c>
      <c r="CO159">
        <v>8760</v>
      </c>
      <c r="CP159">
        <v>8760</v>
      </c>
      <c r="CQ159">
        <v>8760</v>
      </c>
      <c r="CR159">
        <v>8760</v>
      </c>
      <c r="CS159">
        <v>8760</v>
      </c>
      <c r="CT159">
        <v>8760</v>
      </c>
      <c r="CU159">
        <v>8760</v>
      </c>
      <c r="CV159">
        <v>8760</v>
      </c>
      <c r="CW159">
        <v>8760</v>
      </c>
      <c r="CX159">
        <v>8760</v>
      </c>
      <c r="CY159">
        <v>8760</v>
      </c>
      <c r="CZ159">
        <v>8760</v>
      </c>
      <c r="DA159">
        <v>8760</v>
      </c>
      <c r="DB159">
        <v>8760</v>
      </c>
    </row>
    <row r="160" spans="1:106" x14ac:dyDescent="0.25">
      <c r="A160" s="13" t="s">
        <v>178</v>
      </c>
      <c r="B160" t="s">
        <v>170</v>
      </c>
      <c r="C160" t="s">
        <v>438</v>
      </c>
      <c r="D160" t="s">
        <v>701</v>
      </c>
      <c r="E160" t="s">
        <v>702</v>
      </c>
      <c r="F160">
        <v>102213</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4</v>
      </c>
      <c r="AS160">
        <v>8</v>
      </c>
      <c r="AT160">
        <v>21</v>
      </c>
      <c r="AU160">
        <v>32</v>
      </c>
      <c r="AV160">
        <v>52</v>
      </c>
      <c r="AW160">
        <v>84</v>
      </c>
      <c r="AX160">
        <v>139</v>
      </c>
      <c r="AY160">
        <v>215</v>
      </c>
      <c r="AZ160">
        <v>360</v>
      </c>
      <c r="BA160">
        <v>571</v>
      </c>
      <c r="BB160">
        <v>855</v>
      </c>
      <c r="BC160">
        <v>1167</v>
      </c>
      <c r="BD160">
        <v>1575</v>
      </c>
      <c r="BE160">
        <v>2041</v>
      </c>
      <c r="BF160">
        <v>2528</v>
      </c>
      <c r="BG160">
        <v>2925</v>
      </c>
      <c r="BH160">
        <v>3280</v>
      </c>
      <c r="BI160">
        <v>3686</v>
      </c>
      <c r="BJ160">
        <v>4076</v>
      </c>
      <c r="BK160">
        <v>4424</v>
      </c>
      <c r="BL160">
        <v>4751</v>
      </c>
      <c r="BM160">
        <v>5115</v>
      </c>
      <c r="BN160">
        <v>5483</v>
      </c>
      <c r="BO160">
        <v>5826</v>
      </c>
      <c r="BP160">
        <v>6181</v>
      </c>
      <c r="BQ160">
        <v>6561</v>
      </c>
      <c r="BR160">
        <v>6924</v>
      </c>
      <c r="BS160">
        <v>7298</v>
      </c>
      <c r="BT160">
        <v>7587</v>
      </c>
      <c r="BU160">
        <v>7832</v>
      </c>
      <c r="BV160">
        <v>8090</v>
      </c>
      <c r="BW160">
        <v>8302</v>
      </c>
      <c r="BX160">
        <v>8451</v>
      </c>
      <c r="BY160">
        <v>8550</v>
      </c>
      <c r="BZ160">
        <v>8622</v>
      </c>
      <c r="CA160">
        <v>8665</v>
      </c>
      <c r="CB160">
        <v>8695</v>
      </c>
      <c r="CC160">
        <v>8736</v>
      </c>
      <c r="CD160">
        <v>8749</v>
      </c>
      <c r="CE160">
        <v>8759</v>
      </c>
      <c r="CF160">
        <v>8760</v>
      </c>
      <c r="CG160">
        <v>8760</v>
      </c>
      <c r="CH160">
        <v>8760</v>
      </c>
      <c r="CI160">
        <v>8760</v>
      </c>
      <c r="CJ160">
        <v>8760</v>
      </c>
      <c r="CK160">
        <v>8760</v>
      </c>
      <c r="CL160">
        <v>8760</v>
      </c>
      <c r="CM160">
        <v>8760</v>
      </c>
      <c r="CN160">
        <v>8760</v>
      </c>
      <c r="CO160">
        <v>8760</v>
      </c>
      <c r="CP160">
        <v>8760</v>
      </c>
      <c r="CQ160">
        <v>8760</v>
      </c>
      <c r="CR160">
        <v>8760</v>
      </c>
      <c r="CS160">
        <v>8760</v>
      </c>
      <c r="CT160">
        <v>8760</v>
      </c>
      <c r="CU160">
        <v>8760</v>
      </c>
      <c r="CV160">
        <v>8760</v>
      </c>
      <c r="CW160">
        <v>8760</v>
      </c>
      <c r="CX160">
        <v>8760</v>
      </c>
      <c r="CY160">
        <v>8760</v>
      </c>
      <c r="CZ160">
        <v>8760</v>
      </c>
      <c r="DA160">
        <v>8760</v>
      </c>
      <c r="DB160">
        <v>8760</v>
      </c>
    </row>
    <row r="161" spans="1:106" x14ac:dyDescent="0.25">
      <c r="A161" s="13" t="s">
        <v>179</v>
      </c>
      <c r="B161" t="s">
        <v>171</v>
      </c>
      <c r="C161" t="s">
        <v>438</v>
      </c>
      <c r="D161" t="s">
        <v>703</v>
      </c>
      <c r="E161" t="s">
        <v>704</v>
      </c>
      <c r="F161">
        <v>102253</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14</v>
      </c>
      <c r="AT161">
        <v>33</v>
      </c>
      <c r="AU161">
        <v>62</v>
      </c>
      <c r="AV161">
        <v>100</v>
      </c>
      <c r="AW161">
        <v>160</v>
      </c>
      <c r="AX161">
        <v>244</v>
      </c>
      <c r="AY161">
        <v>366</v>
      </c>
      <c r="AZ161">
        <v>494</v>
      </c>
      <c r="BA161">
        <v>694</v>
      </c>
      <c r="BB161">
        <v>949</v>
      </c>
      <c r="BC161">
        <v>1282</v>
      </c>
      <c r="BD161">
        <v>1602</v>
      </c>
      <c r="BE161">
        <v>1993</v>
      </c>
      <c r="BF161">
        <v>2416</v>
      </c>
      <c r="BG161">
        <v>2809</v>
      </c>
      <c r="BH161">
        <v>3186</v>
      </c>
      <c r="BI161">
        <v>3552</v>
      </c>
      <c r="BJ161">
        <v>3850</v>
      </c>
      <c r="BK161">
        <v>4184</v>
      </c>
      <c r="BL161">
        <v>4508</v>
      </c>
      <c r="BM161">
        <v>4904</v>
      </c>
      <c r="BN161">
        <v>5314</v>
      </c>
      <c r="BO161">
        <v>5731</v>
      </c>
      <c r="BP161">
        <v>6068</v>
      </c>
      <c r="BQ161">
        <v>6425</v>
      </c>
      <c r="BR161">
        <v>6803</v>
      </c>
      <c r="BS161">
        <v>7197</v>
      </c>
      <c r="BT161">
        <v>7499</v>
      </c>
      <c r="BU161">
        <v>7788</v>
      </c>
      <c r="BV161">
        <v>8056</v>
      </c>
      <c r="BW161">
        <v>8238</v>
      </c>
      <c r="BX161">
        <v>8389</v>
      </c>
      <c r="BY161">
        <v>8485</v>
      </c>
      <c r="BZ161">
        <v>8558</v>
      </c>
      <c r="CA161">
        <v>8617</v>
      </c>
      <c r="CB161">
        <v>8666</v>
      </c>
      <c r="CC161">
        <v>8701</v>
      </c>
      <c r="CD161">
        <v>8729</v>
      </c>
      <c r="CE161">
        <v>8745</v>
      </c>
      <c r="CF161">
        <v>8752</v>
      </c>
      <c r="CG161">
        <v>8760</v>
      </c>
      <c r="CH161">
        <v>8760</v>
      </c>
      <c r="CI161">
        <v>8760</v>
      </c>
      <c r="CJ161">
        <v>8760</v>
      </c>
      <c r="CK161">
        <v>8760</v>
      </c>
      <c r="CL161">
        <v>8760</v>
      </c>
      <c r="CM161">
        <v>8760</v>
      </c>
      <c r="CN161">
        <v>8760</v>
      </c>
      <c r="CO161">
        <v>8760</v>
      </c>
      <c r="CP161">
        <v>8760</v>
      </c>
      <c r="CQ161">
        <v>8760</v>
      </c>
      <c r="CR161">
        <v>8760</v>
      </c>
      <c r="CS161">
        <v>8760</v>
      </c>
      <c r="CT161">
        <v>8760</v>
      </c>
      <c r="CU161">
        <v>8760</v>
      </c>
      <c r="CV161">
        <v>8760</v>
      </c>
      <c r="CW161">
        <v>8760</v>
      </c>
      <c r="CX161">
        <v>8760</v>
      </c>
      <c r="CY161">
        <v>8760</v>
      </c>
      <c r="CZ161">
        <v>8760</v>
      </c>
      <c r="DA161">
        <v>8760</v>
      </c>
      <c r="DB161">
        <v>8760</v>
      </c>
    </row>
    <row r="162" spans="1:106" x14ac:dyDescent="0.25">
      <c r="A162" s="13" t="s">
        <v>180</v>
      </c>
      <c r="B162" t="s">
        <v>172</v>
      </c>
      <c r="C162" t="s">
        <v>438</v>
      </c>
      <c r="D162" t="s">
        <v>705</v>
      </c>
      <c r="E162" t="s">
        <v>706</v>
      </c>
      <c r="F162">
        <v>102515</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4</v>
      </c>
      <c r="AK162">
        <v>15</v>
      </c>
      <c r="AL162">
        <v>30</v>
      </c>
      <c r="AM162">
        <v>47</v>
      </c>
      <c r="AN162">
        <v>75</v>
      </c>
      <c r="AO162">
        <v>95</v>
      </c>
      <c r="AP162">
        <v>126</v>
      </c>
      <c r="AQ162">
        <v>149</v>
      </c>
      <c r="AR162">
        <v>168</v>
      </c>
      <c r="AS162">
        <v>195</v>
      </c>
      <c r="AT162">
        <v>253</v>
      </c>
      <c r="AU162">
        <v>306</v>
      </c>
      <c r="AV162">
        <v>390</v>
      </c>
      <c r="AW162">
        <v>487</v>
      </c>
      <c r="AX162">
        <v>604</v>
      </c>
      <c r="AY162">
        <v>764</v>
      </c>
      <c r="AZ162">
        <v>983</v>
      </c>
      <c r="BA162">
        <v>1275</v>
      </c>
      <c r="BB162">
        <v>1570</v>
      </c>
      <c r="BC162">
        <v>1905</v>
      </c>
      <c r="BD162">
        <v>2308</v>
      </c>
      <c r="BE162">
        <v>2799</v>
      </c>
      <c r="BF162">
        <v>3220</v>
      </c>
      <c r="BG162">
        <v>3559</v>
      </c>
      <c r="BH162">
        <v>3911</v>
      </c>
      <c r="BI162">
        <v>4232</v>
      </c>
      <c r="BJ162">
        <v>4507</v>
      </c>
      <c r="BK162">
        <v>4778</v>
      </c>
      <c r="BL162">
        <v>5063</v>
      </c>
      <c r="BM162">
        <v>5362</v>
      </c>
      <c r="BN162">
        <v>5653</v>
      </c>
      <c r="BO162">
        <v>5990</v>
      </c>
      <c r="BP162">
        <v>6327</v>
      </c>
      <c r="BQ162">
        <v>6688</v>
      </c>
      <c r="BR162">
        <v>7000</v>
      </c>
      <c r="BS162">
        <v>7312</v>
      </c>
      <c r="BT162">
        <v>7580</v>
      </c>
      <c r="BU162">
        <v>7835</v>
      </c>
      <c r="BV162">
        <v>8041</v>
      </c>
      <c r="BW162">
        <v>8210</v>
      </c>
      <c r="BX162">
        <v>8342</v>
      </c>
      <c r="BY162">
        <v>8450</v>
      </c>
      <c r="BZ162">
        <v>8530</v>
      </c>
      <c r="CA162">
        <v>8592</v>
      </c>
      <c r="CB162">
        <v>8644</v>
      </c>
      <c r="CC162">
        <v>8685</v>
      </c>
      <c r="CD162">
        <v>8719</v>
      </c>
      <c r="CE162">
        <v>8743</v>
      </c>
      <c r="CF162">
        <v>8755</v>
      </c>
      <c r="CG162">
        <v>8759</v>
      </c>
      <c r="CH162">
        <v>8760</v>
      </c>
      <c r="CI162">
        <v>8760</v>
      </c>
      <c r="CJ162">
        <v>8760</v>
      </c>
      <c r="CK162">
        <v>8760</v>
      </c>
      <c r="CL162">
        <v>8760</v>
      </c>
      <c r="CM162">
        <v>8760</v>
      </c>
      <c r="CN162">
        <v>8760</v>
      </c>
      <c r="CO162">
        <v>8760</v>
      </c>
      <c r="CP162">
        <v>8760</v>
      </c>
      <c r="CQ162">
        <v>8760</v>
      </c>
      <c r="CR162">
        <v>8760</v>
      </c>
      <c r="CS162">
        <v>8760</v>
      </c>
      <c r="CT162">
        <v>8760</v>
      </c>
      <c r="CU162">
        <v>8760</v>
      </c>
      <c r="CV162">
        <v>8760</v>
      </c>
      <c r="CW162">
        <v>8760</v>
      </c>
      <c r="CX162">
        <v>8760</v>
      </c>
      <c r="CY162">
        <v>8760</v>
      </c>
      <c r="CZ162">
        <v>8760</v>
      </c>
      <c r="DA162">
        <v>8760</v>
      </c>
      <c r="DB162">
        <v>8760</v>
      </c>
    </row>
    <row r="163" spans="1:106" x14ac:dyDescent="0.25">
      <c r="A163" s="13" t="s">
        <v>181</v>
      </c>
      <c r="B163" t="s">
        <v>173</v>
      </c>
      <c r="C163" t="s">
        <v>438</v>
      </c>
      <c r="D163" t="s">
        <v>707</v>
      </c>
      <c r="E163" t="s">
        <v>708</v>
      </c>
      <c r="F163">
        <v>102406</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3</v>
      </c>
      <c r="AP163">
        <v>8</v>
      </c>
      <c r="AQ163">
        <v>11</v>
      </c>
      <c r="AR163">
        <v>25</v>
      </c>
      <c r="AS163">
        <v>39</v>
      </c>
      <c r="AT163">
        <v>62</v>
      </c>
      <c r="AU163">
        <v>107</v>
      </c>
      <c r="AV163">
        <v>183</v>
      </c>
      <c r="AW163">
        <v>281</v>
      </c>
      <c r="AX163">
        <v>396</v>
      </c>
      <c r="AY163">
        <v>504</v>
      </c>
      <c r="AZ163">
        <v>662</v>
      </c>
      <c r="BA163">
        <v>860</v>
      </c>
      <c r="BB163">
        <v>1102</v>
      </c>
      <c r="BC163">
        <v>1404</v>
      </c>
      <c r="BD163">
        <v>1845</v>
      </c>
      <c r="BE163">
        <v>2376</v>
      </c>
      <c r="BF163">
        <v>2832</v>
      </c>
      <c r="BG163">
        <v>3173</v>
      </c>
      <c r="BH163">
        <v>3540</v>
      </c>
      <c r="BI163">
        <v>3935</v>
      </c>
      <c r="BJ163">
        <v>4250</v>
      </c>
      <c r="BK163">
        <v>4552</v>
      </c>
      <c r="BL163">
        <v>4876</v>
      </c>
      <c r="BM163">
        <v>5196</v>
      </c>
      <c r="BN163">
        <v>5523</v>
      </c>
      <c r="BO163">
        <v>5872</v>
      </c>
      <c r="BP163">
        <v>6209</v>
      </c>
      <c r="BQ163">
        <v>6550</v>
      </c>
      <c r="BR163">
        <v>6947</v>
      </c>
      <c r="BS163">
        <v>7283</v>
      </c>
      <c r="BT163">
        <v>7579</v>
      </c>
      <c r="BU163">
        <v>7837</v>
      </c>
      <c r="BV163">
        <v>8089</v>
      </c>
      <c r="BW163">
        <v>8274</v>
      </c>
      <c r="BX163">
        <v>8428</v>
      </c>
      <c r="BY163">
        <v>8524</v>
      </c>
      <c r="BZ163">
        <v>8612</v>
      </c>
      <c r="CA163">
        <v>8669</v>
      </c>
      <c r="CB163">
        <v>8717</v>
      </c>
      <c r="CC163">
        <v>8738</v>
      </c>
      <c r="CD163">
        <v>8752</v>
      </c>
      <c r="CE163">
        <v>8759</v>
      </c>
      <c r="CF163">
        <v>8760</v>
      </c>
      <c r="CG163">
        <v>8760</v>
      </c>
      <c r="CH163">
        <v>8760</v>
      </c>
      <c r="CI163">
        <v>8760</v>
      </c>
      <c r="CJ163">
        <v>8760</v>
      </c>
      <c r="CK163">
        <v>8760</v>
      </c>
      <c r="CL163">
        <v>8760</v>
      </c>
      <c r="CM163">
        <v>8760</v>
      </c>
      <c r="CN163">
        <v>8760</v>
      </c>
      <c r="CO163">
        <v>8760</v>
      </c>
      <c r="CP163">
        <v>8760</v>
      </c>
      <c r="CQ163">
        <v>8760</v>
      </c>
      <c r="CR163">
        <v>8760</v>
      </c>
      <c r="CS163">
        <v>8760</v>
      </c>
      <c r="CT163">
        <v>8760</v>
      </c>
      <c r="CU163">
        <v>8760</v>
      </c>
      <c r="CV163">
        <v>8760</v>
      </c>
      <c r="CW163">
        <v>8760</v>
      </c>
      <c r="CX163">
        <v>8760</v>
      </c>
      <c r="CY163">
        <v>8760</v>
      </c>
      <c r="CZ163">
        <v>8760</v>
      </c>
      <c r="DA163">
        <v>8760</v>
      </c>
      <c r="DB163">
        <v>8760</v>
      </c>
    </row>
    <row r="164" spans="1:106" x14ac:dyDescent="0.25">
      <c r="A164" s="13" t="s">
        <v>182</v>
      </c>
      <c r="B164" t="s">
        <v>392</v>
      </c>
    </row>
    <row r="165" spans="1:106" x14ac:dyDescent="0.25">
      <c r="A165" s="13" t="s">
        <v>183</v>
      </c>
      <c r="B165" t="s">
        <v>393</v>
      </c>
    </row>
    <row r="166" spans="1:106" x14ac:dyDescent="0.25">
      <c r="A166" s="13" t="s">
        <v>184</v>
      </c>
      <c r="B166" t="s">
        <v>174</v>
      </c>
      <c r="C166" t="s">
        <v>438</v>
      </c>
      <c r="D166" t="s">
        <v>709</v>
      </c>
      <c r="E166" t="s">
        <v>710</v>
      </c>
      <c r="F166">
        <v>102312</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3</v>
      </c>
      <c r="AM166">
        <v>5</v>
      </c>
      <c r="AN166">
        <v>9</v>
      </c>
      <c r="AO166">
        <v>11</v>
      </c>
      <c r="AP166">
        <v>20</v>
      </c>
      <c r="AQ166">
        <v>44</v>
      </c>
      <c r="AR166">
        <v>65</v>
      </c>
      <c r="AS166">
        <v>98</v>
      </c>
      <c r="AT166">
        <v>142</v>
      </c>
      <c r="AU166">
        <v>187</v>
      </c>
      <c r="AV166">
        <v>244</v>
      </c>
      <c r="AW166">
        <v>312</v>
      </c>
      <c r="AX166">
        <v>385</v>
      </c>
      <c r="AY166">
        <v>478</v>
      </c>
      <c r="AZ166">
        <v>636</v>
      </c>
      <c r="BA166">
        <v>855</v>
      </c>
      <c r="BB166">
        <v>1113</v>
      </c>
      <c r="BC166">
        <v>1301</v>
      </c>
      <c r="BD166">
        <v>1596</v>
      </c>
      <c r="BE166">
        <v>2037</v>
      </c>
      <c r="BF166">
        <v>2476</v>
      </c>
      <c r="BG166">
        <v>2965</v>
      </c>
      <c r="BH166">
        <v>3424</v>
      </c>
      <c r="BI166">
        <v>3794</v>
      </c>
      <c r="BJ166">
        <v>4140</v>
      </c>
      <c r="BK166">
        <v>4468</v>
      </c>
      <c r="BL166">
        <v>4792</v>
      </c>
      <c r="BM166">
        <v>5105</v>
      </c>
      <c r="BN166">
        <v>5458</v>
      </c>
      <c r="BO166">
        <v>5844</v>
      </c>
      <c r="BP166">
        <v>6242</v>
      </c>
      <c r="BQ166">
        <v>6579</v>
      </c>
      <c r="BR166">
        <v>6931</v>
      </c>
      <c r="BS166">
        <v>7266</v>
      </c>
      <c r="BT166">
        <v>7546</v>
      </c>
      <c r="BU166">
        <v>7782</v>
      </c>
      <c r="BV166">
        <v>7981</v>
      </c>
      <c r="BW166">
        <v>8141</v>
      </c>
      <c r="BX166">
        <v>8244</v>
      </c>
      <c r="BY166">
        <v>8346</v>
      </c>
      <c r="BZ166">
        <v>8445</v>
      </c>
      <c r="CA166">
        <v>8534</v>
      </c>
      <c r="CB166">
        <v>8603</v>
      </c>
      <c r="CC166">
        <v>8658</v>
      </c>
      <c r="CD166">
        <v>8688</v>
      </c>
      <c r="CE166">
        <v>8711</v>
      </c>
      <c r="CF166">
        <v>8737</v>
      </c>
      <c r="CG166">
        <v>8752</v>
      </c>
      <c r="CH166">
        <v>8756</v>
      </c>
      <c r="CI166">
        <v>8760</v>
      </c>
      <c r="CJ166">
        <v>8760</v>
      </c>
      <c r="CK166">
        <v>8760</v>
      </c>
      <c r="CL166">
        <v>8760</v>
      </c>
      <c r="CM166">
        <v>8760</v>
      </c>
      <c r="CN166">
        <v>8760</v>
      </c>
      <c r="CO166">
        <v>8760</v>
      </c>
      <c r="CP166">
        <v>8760</v>
      </c>
      <c r="CQ166">
        <v>8760</v>
      </c>
      <c r="CR166">
        <v>8760</v>
      </c>
      <c r="CS166">
        <v>8760</v>
      </c>
      <c r="CT166">
        <v>8760</v>
      </c>
      <c r="CU166">
        <v>8760</v>
      </c>
      <c r="CV166">
        <v>8760</v>
      </c>
      <c r="CW166">
        <v>8760</v>
      </c>
      <c r="CX166">
        <v>8760</v>
      </c>
      <c r="CY166">
        <v>8760</v>
      </c>
      <c r="CZ166">
        <v>8760</v>
      </c>
      <c r="DA166">
        <v>8760</v>
      </c>
      <c r="DB166">
        <v>8760</v>
      </c>
    </row>
    <row r="167" spans="1:106" x14ac:dyDescent="0.25">
      <c r="A167" s="13" t="s">
        <v>185</v>
      </c>
      <c r="B167" t="s">
        <v>175</v>
      </c>
      <c r="C167" t="s">
        <v>438</v>
      </c>
      <c r="D167" t="s">
        <v>711</v>
      </c>
      <c r="E167" t="s">
        <v>712</v>
      </c>
      <c r="F167">
        <v>102721</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3</v>
      </c>
      <c r="AE167">
        <v>12</v>
      </c>
      <c r="AF167">
        <v>18</v>
      </c>
      <c r="AG167">
        <v>30</v>
      </c>
      <c r="AH167">
        <v>44</v>
      </c>
      <c r="AI167">
        <v>53</v>
      </c>
      <c r="AJ167">
        <v>70</v>
      </c>
      <c r="AK167">
        <v>118</v>
      </c>
      <c r="AL167">
        <v>167</v>
      </c>
      <c r="AM167">
        <v>214</v>
      </c>
      <c r="AN167">
        <v>268</v>
      </c>
      <c r="AO167">
        <v>326</v>
      </c>
      <c r="AP167">
        <v>386</v>
      </c>
      <c r="AQ167">
        <v>454</v>
      </c>
      <c r="AR167">
        <v>528</v>
      </c>
      <c r="AS167">
        <v>600</v>
      </c>
      <c r="AT167">
        <v>680</v>
      </c>
      <c r="AU167">
        <v>773</v>
      </c>
      <c r="AV167">
        <v>875</v>
      </c>
      <c r="AW167">
        <v>1006</v>
      </c>
      <c r="AX167">
        <v>1146</v>
      </c>
      <c r="AY167">
        <v>1311</v>
      </c>
      <c r="AZ167">
        <v>1531</v>
      </c>
      <c r="BA167">
        <v>1790</v>
      </c>
      <c r="BB167">
        <v>2121</v>
      </c>
      <c r="BC167">
        <v>2522</v>
      </c>
      <c r="BD167">
        <v>2957</v>
      </c>
      <c r="BE167">
        <v>3410</v>
      </c>
      <c r="BF167">
        <v>3793</v>
      </c>
      <c r="BG167">
        <v>4103</v>
      </c>
      <c r="BH167">
        <v>4418</v>
      </c>
      <c r="BI167">
        <v>4746</v>
      </c>
      <c r="BJ167">
        <v>5046</v>
      </c>
      <c r="BK167">
        <v>5310</v>
      </c>
      <c r="BL167">
        <v>5558</v>
      </c>
      <c r="BM167">
        <v>5873</v>
      </c>
      <c r="BN167">
        <v>6127</v>
      </c>
      <c r="BO167">
        <v>6424</v>
      </c>
      <c r="BP167">
        <v>6684</v>
      </c>
      <c r="BQ167">
        <v>6922</v>
      </c>
      <c r="BR167">
        <v>7167</v>
      </c>
      <c r="BS167">
        <v>7418</v>
      </c>
      <c r="BT167">
        <v>7636</v>
      </c>
      <c r="BU167">
        <v>7853</v>
      </c>
      <c r="BV167">
        <v>8036</v>
      </c>
      <c r="BW167">
        <v>8176</v>
      </c>
      <c r="BX167">
        <v>8306</v>
      </c>
      <c r="BY167">
        <v>8427</v>
      </c>
      <c r="BZ167">
        <v>8538</v>
      </c>
      <c r="CA167">
        <v>8604</v>
      </c>
      <c r="CB167">
        <v>8648</v>
      </c>
      <c r="CC167">
        <v>8679</v>
      </c>
      <c r="CD167">
        <v>8710</v>
      </c>
      <c r="CE167">
        <v>8727</v>
      </c>
      <c r="CF167">
        <v>8744</v>
      </c>
      <c r="CG167">
        <v>8759</v>
      </c>
      <c r="CH167">
        <v>8760</v>
      </c>
      <c r="CI167">
        <v>8760</v>
      </c>
      <c r="CJ167">
        <v>8760</v>
      </c>
      <c r="CK167">
        <v>8760</v>
      </c>
      <c r="CL167">
        <v>8760</v>
      </c>
      <c r="CM167">
        <v>8760</v>
      </c>
      <c r="CN167">
        <v>8760</v>
      </c>
      <c r="CO167">
        <v>8760</v>
      </c>
      <c r="CP167">
        <v>8760</v>
      </c>
      <c r="CQ167">
        <v>8760</v>
      </c>
      <c r="CR167">
        <v>8760</v>
      </c>
      <c r="CS167">
        <v>8760</v>
      </c>
      <c r="CT167">
        <v>8760</v>
      </c>
      <c r="CU167">
        <v>8760</v>
      </c>
      <c r="CV167">
        <v>8760</v>
      </c>
      <c r="CW167">
        <v>8760</v>
      </c>
      <c r="CX167">
        <v>8760</v>
      </c>
      <c r="CY167">
        <v>8760</v>
      </c>
      <c r="CZ167">
        <v>8760</v>
      </c>
      <c r="DA167">
        <v>8760</v>
      </c>
      <c r="DB167">
        <v>8760</v>
      </c>
    </row>
    <row r="168" spans="1:106" x14ac:dyDescent="0.25">
      <c r="A168" s="13" t="s">
        <v>186</v>
      </c>
      <c r="B168" t="s">
        <v>394</v>
      </c>
    </row>
    <row r="169" spans="1:106" x14ac:dyDescent="0.25">
      <c r="A169" s="13" t="s">
        <v>187</v>
      </c>
      <c r="B169" t="s">
        <v>176</v>
      </c>
      <c r="C169" t="s">
        <v>438</v>
      </c>
      <c r="D169" t="s">
        <v>713</v>
      </c>
      <c r="E169" t="s">
        <v>490</v>
      </c>
      <c r="F169">
        <v>102135</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5</v>
      </c>
      <c r="AU169">
        <v>12</v>
      </c>
      <c r="AV169">
        <v>19</v>
      </c>
      <c r="AW169">
        <v>32</v>
      </c>
      <c r="AX169">
        <v>55</v>
      </c>
      <c r="AY169">
        <v>76</v>
      </c>
      <c r="AZ169">
        <v>116</v>
      </c>
      <c r="BA169">
        <v>207</v>
      </c>
      <c r="BB169">
        <v>326</v>
      </c>
      <c r="BC169">
        <v>501</v>
      </c>
      <c r="BD169">
        <v>805</v>
      </c>
      <c r="BE169">
        <v>1144</v>
      </c>
      <c r="BF169">
        <v>1553</v>
      </c>
      <c r="BG169">
        <v>1986</v>
      </c>
      <c r="BH169">
        <v>2465</v>
      </c>
      <c r="BI169">
        <v>2981</v>
      </c>
      <c r="BJ169">
        <v>3452</v>
      </c>
      <c r="BK169">
        <v>3887</v>
      </c>
      <c r="BL169">
        <v>4279</v>
      </c>
      <c r="BM169">
        <v>4602</v>
      </c>
      <c r="BN169">
        <v>4991</v>
      </c>
      <c r="BO169">
        <v>5346</v>
      </c>
      <c r="BP169">
        <v>5739</v>
      </c>
      <c r="BQ169">
        <v>6127</v>
      </c>
      <c r="BR169">
        <v>6487</v>
      </c>
      <c r="BS169">
        <v>6899</v>
      </c>
      <c r="BT169">
        <v>7297</v>
      </c>
      <c r="BU169">
        <v>7617</v>
      </c>
      <c r="BV169">
        <v>7891</v>
      </c>
      <c r="BW169">
        <v>8112</v>
      </c>
      <c r="BX169">
        <v>8307</v>
      </c>
      <c r="BY169">
        <v>8433</v>
      </c>
      <c r="BZ169">
        <v>8526</v>
      </c>
      <c r="CA169">
        <v>8585</v>
      </c>
      <c r="CB169">
        <v>8632</v>
      </c>
      <c r="CC169">
        <v>8669</v>
      </c>
      <c r="CD169">
        <v>8704</v>
      </c>
      <c r="CE169">
        <v>8729</v>
      </c>
      <c r="CF169">
        <v>8747</v>
      </c>
      <c r="CG169">
        <v>8759</v>
      </c>
      <c r="CH169">
        <v>8760</v>
      </c>
      <c r="CI169">
        <v>8760</v>
      </c>
      <c r="CJ169">
        <v>8760</v>
      </c>
      <c r="CK169">
        <v>8760</v>
      </c>
      <c r="CL169">
        <v>8760</v>
      </c>
      <c r="CM169">
        <v>8760</v>
      </c>
      <c r="CN169">
        <v>8760</v>
      </c>
      <c r="CO169">
        <v>8760</v>
      </c>
      <c r="CP169">
        <v>8760</v>
      </c>
      <c r="CQ169">
        <v>8760</v>
      </c>
      <c r="CR169">
        <v>8760</v>
      </c>
      <c r="CS169">
        <v>8760</v>
      </c>
      <c r="CT169">
        <v>8760</v>
      </c>
      <c r="CU169">
        <v>8760</v>
      </c>
      <c r="CV169">
        <v>8760</v>
      </c>
      <c r="CW169">
        <v>8760</v>
      </c>
      <c r="CX169">
        <v>8760</v>
      </c>
      <c r="CY169">
        <v>8760</v>
      </c>
      <c r="CZ169">
        <v>8760</v>
      </c>
      <c r="DA169">
        <v>8760</v>
      </c>
      <c r="DB169">
        <v>8760</v>
      </c>
    </row>
    <row r="170" spans="1:106" x14ac:dyDescent="0.25">
      <c r="A170" s="13" t="s">
        <v>188</v>
      </c>
      <c r="B170" t="s">
        <v>177</v>
      </c>
      <c r="C170" t="s">
        <v>438</v>
      </c>
      <c r="D170" t="s">
        <v>461</v>
      </c>
      <c r="E170" t="s">
        <v>714</v>
      </c>
      <c r="F170">
        <v>102701</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3</v>
      </c>
      <c r="AD170">
        <v>8</v>
      </c>
      <c r="AE170">
        <v>12</v>
      </c>
      <c r="AF170">
        <v>18</v>
      </c>
      <c r="AG170">
        <v>24</v>
      </c>
      <c r="AH170">
        <v>28</v>
      </c>
      <c r="AI170">
        <v>32</v>
      </c>
      <c r="AJ170">
        <v>44</v>
      </c>
      <c r="AK170">
        <v>51</v>
      </c>
      <c r="AL170">
        <v>72</v>
      </c>
      <c r="AM170">
        <v>94</v>
      </c>
      <c r="AN170">
        <v>116</v>
      </c>
      <c r="AO170">
        <v>133</v>
      </c>
      <c r="AP170">
        <v>166</v>
      </c>
      <c r="AQ170">
        <v>213</v>
      </c>
      <c r="AR170">
        <v>258</v>
      </c>
      <c r="AS170">
        <v>324</v>
      </c>
      <c r="AT170">
        <v>388</v>
      </c>
      <c r="AU170">
        <v>474</v>
      </c>
      <c r="AV170">
        <v>569</v>
      </c>
      <c r="AW170">
        <v>714</v>
      </c>
      <c r="AX170">
        <v>828</v>
      </c>
      <c r="AY170">
        <v>998</v>
      </c>
      <c r="AZ170">
        <v>1218</v>
      </c>
      <c r="BA170">
        <v>1465</v>
      </c>
      <c r="BB170">
        <v>1733</v>
      </c>
      <c r="BC170">
        <v>2053</v>
      </c>
      <c r="BD170">
        <v>2466</v>
      </c>
      <c r="BE170">
        <v>2916</v>
      </c>
      <c r="BF170">
        <v>3320</v>
      </c>
      <c r="BG170">
        <v>3664</v>
      </c>
      <c r="BH170">
        <v>4032</v>
      </c>
      <c r="BI170">
        <v>4384</v>
      </c>
      <c r="BJ170">
        <v>4663</v>
      </c>
      <c r="BK170">
        <v>4964</v>
      </c>
      <c r="BL170">
        <v>5281</v>
      </c>
      <c r="BM170">
        <v>5646</v>
      </c>
      <c r="BN170">
        <v>6001</v>
      </c>
      <c r="BO170">
        <v>6378</v>
      </c>
      <c r="BP170">
        <v>6690</v>
      </c>
      <c r="BQ170">
        <v>7008</v>
      </c>
      <c r="BR170">
        <v>7313</v>
      </c>
      <c r="BS170">
        <v>7592</v>
      </c>
      <c r="BT170">
        <v>7859</v>
      </c>
      <c r="BU170">
        <v>8041</v>
      </c>
      <c r="BV170">
        <v>8218</v>
      </c>
      <c r="BW170">
        <v>8358</v>
      </c>
      <c r="BX170">
        <v>8470</v>
      </c>
      <c r="BY170">
        <v>8549</v>
      </c>
      <c r="BZ170">
        <v>8632</v>
      </c>
      <c r="CA170">
        <v>8688</v>
      </c>
      <c r="CB170">
        <v>8711</v>
      </c>
      <c r="CC170">
        <v>8726</v>
      </c>
      <c r="CD170">
        <v>8740</v>
      </c>
      <c r="CE170">
        <v>8749</v>
      </c>
      <c r="CF170">
        <v>8760</v>
      </c>
      <c r="CG170">
        <v>8760</v>
      </c>
      <c r="CH170">
        <v>8760</v>
      </c>
      <c r="CI170">
        <v>8760</v>
      </c>
      <c r="CJ170">
        <v>8760</v>
      </c>
      <c r="CK170">
        <v>8760</v>
      </c>
      <c r="CL170">
        <v>8760</v>
      </c>
      <c r="CM170">
        <v>8760</v>
      </c>
      <c r="CN170">
        <v>8760</v>
      </c>
      <c r="CO170">
        <v>8760</v>
      </c>
      <c r="CP170">
        <v>8760</v>
      </c>
      <c r="CQ170">
        <v>8760</v>
      </c>
      <c r="CR170">
        <v>8760</v>
      </c>
      <c r="CS170">
        <v>8760</v>
      </c>
      <c r="CT170">
        <v>8760</v>
      </c>
      <c r="CU170">
        <v>8760</v>
      </c>
      <c r="CV170">
        <v>8760</v>
      </c>
      <c r="CW170">
        <v>8760</v>
      </c>
      <c r="CX170">
        <v>8760</v>
      </c>
      <c r="CY170">
        <v>8760</v>
      </c>
      <c r="CZ170">
        <v>8760</v>
      </c>
      <c r="DA170">
        <v>8760</v>
      </c>
      <c r="DB170">
        <v>8760</v>
      </c>
    </row>
    <row r="171" spans="1:106" x14ac:dyDescent="0.25">
      <c r="A171" s="13" t="s">
        <v>189</v>
      </c>
      <c r="B171" t="s">
        <v>178</v>
      </c>
      <c r="C171" t="s">
        <v>438</v>
      </c>
      <c r="D171" t="s">
        <v>715</v>
      </c>
      <c r="E171" t="s">
        <v>716</v>
      </c>
      <c r="F171">
        <v>102005</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1</v>
      </c>
      <c r="AB171">
        <v>4</v>
      </c>
      <c r="AC171">
        <v>11</v>
      </c>
      <c r="AD171">
        <v>22</v>
      </c>
      <c r="AE171">
        <v>35</v>
      </c>
      <c r="AF171">
        <v>75</v>
      </c>
      <c r="AG171">
        <v>118</v>
      </c>
      <c r="AH171">
        <v>148</v>
      </c>
      <c r="AI171">
        <v>189</v>
      </c>
      <c r="AJ171">
        <v>228</v>
      </c>
      <c r="AK171">
        <v>269</v>
      </c>
      <c r="AL171">
        <v>320</v>
      </c>
      <c r="AM171">
        <v>393</v>
      </c>
      <c r="AN171">
        <v>493</v>
      </c>
      <c r="AO171">
        <v>557</v>
      </c>
      <c r="AP171">
        <v>642</v>
      </c>
      <c r="AQ171">
        <v>716</v>
      </c>
      <c r="AR171">
        <v>800</v>
      </c>
      <c r="AS171">
        <v>925</v>
      </c>
      <c r="AT171">
        <v>1053</v>
      </c>
      <c r="AU171">
        <v>1199</v>
      </c>
      <c r="AV171">
        <v>1384</v>
      </c>
      <c r="AW171">
        <v>1577</v>
      </c>
      <c r="AX171">
        <v>1808</v>
      </c>
      <c r="AY171">
        <v>2073</v>
      </c>
      <c r="AZ171">
        <v>2317</v>
      </c>
      <c r="BA171">
        <v>2574</v>
      </c>
      <c r="BB171">
        <v>2842</v>
      </c>
      <c r="BC171">
        <v>3177</v>
      </c>
      <c r="BD171">
        <v>3509</v>
      </c>
      <c r="BE171">
        <v>3886</v>
      </c>
      <c r="BF171">
        <v>4274</v>
      </c>
      <c r="BG171">
        <v>4565</v>
      </c>
      <c r="BH171">
        <v>4867</v>
      </c>
      <c r="BI171">
        <v>5137</v>
      </c>
      <c r="BJ171">
        <v>5398</v>
      </c>
      <c r="BK171">
        <v>5648</v>
      </c>
      <c r="BL171">
        <v>5938</v>
      </c>
      <c r="BM171">
        <v>6239</v>
      </c>
      <c r="BN171">
        <v>6546</v>
      </c>
      <c r="BO171">
        <v>6876</v>
      </c>
      <c r="BP171">
        <v>7157</v>
      </c>
      <c r="BQ171">
        <v>7449</v>
      </c>
      <c r="BR171">
        <v>7666</v>
      </c>
      <c r="BS171">
        <v>7887</v>
      </c>
      <c r="BT171">
        <v>8072</v>
      </c>
      <c r="BU171">
        <v>8234</v>
      </c>
      <c r="BV171">
        <v>8387</v>
      </c>
      <c r="BW171">
        <v>8505</v>
      </c>
      <c r="BX171">
        <v>8581</v>
      </c>
      <c r="BY171">
        <v>8639</v>
      </c>
      <c r="BZ171">
        <v>8689</v>
      </c>
      <c r="CA171">
        <v>8716</v>
      </c>
      <c r="CB171">
        <v>8738</v>
      </c>
      <c r="CC171">
        <v>8746</v>
      </c>
      <c r="CD171">
        <v>8752</v>
      </c>
      <c r="CE171">
        <v>8757</v>
      </c>
      <c r="CF171">
        <v>8759</v>
      </c>
      <c r="CG171">
        <v>8760</v>
      </c>
      <c r="CH171">
        <v>8760</v>
      </c>
      <c r="CI171">
        <v>8760</v>
      </c>
      <c r="CJ171">
        <v>8760</v>
      </c>
      <c r="CK171">
        <v>8760</v>
      </c>
      <c r="CL171">
        <v>8760</v>
      </c>
      <c r="CM171">
        <v>8760</v>
      </c>
      <c r="CN171">
        <v>8760</v>
      </c>
      <c r="CO171">
        <v>8760</v>
      </c>
      <c r="CP171">
        <v>8760</v>
      </c>
      <c r="CQ171">
        <v>8760</v>
      </c>
      <c r="CR171">
        <v>8760</v>
      </c>
      <c r="CS171">
        <v>8760</v>
      </c>
      <c r="CT171">
        <v>8760</v>
      </c>
      <c r="CU171">
        <v>8760</v>
      </c>
      <c r="CV171">
        <v>8760</v>
      </c>
      <c r="CW171">
        <v>8760</v>
      </c>
      <c r="CX171">
        <v>8760</v>
      </c>
      <c r="CY171">
        <v>8760</v>
      </c>
      <c r="CZ171">
        <v>8760</v>
      </c>
      <c r="DA171">
        <v>8760</v>
      </c>
      <c r="DB171">
        <v>8760</v>
      </c>
    </row>
    <row r="172" spans="1:106" x14ac:dyDescent="0.25">
      <c r="A172" s="13" t="s">
        <v>190</v>
      </c>
      <c r="B172" t="s">
        <v>179</v>
      </c>
      <c r="C172" t="s">
        <v>438</v>
      </c>
      <c r="D172" t="s">
        <v>717</v>
      </c>
      <c r="E172" t="s">
        <v>718</v>
      </c>
      <c r="F172">
        <v>102106</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7</v>
      </c>
      <c r="AS172">
        <v>14</v>
      </c>
      <c r="AT172">
        <v>21</v>
      </c>
      <c r="AU172">
        <v>27</v>
      </c>
      <c r="AV172">
        <v>39</v>
      </c>
      <c r="AW172">
        <v>66</v>
      </c>
      <c r="AX172">
        <v>84</v>
      </c>
      <c r="AY172">
        <v>112</v>
      </c>
      <c r="AZ172">
        <v>158</v>
      </c>
      <c r="BA172">
        <v>264</v>
      </c>
      <c r="BB172">
        <v>505</v>
      </c>
      <c r="BC172">
        <v>780</v>
      </c>
      <c r="BD172">
        <v>1160</v>
      </c>
      <c r="BE172">
        <v>1540</v>
      </c>
      <c r="BF172">
        <v>2039</v>
      </c>
      <c r="BG172">
        <v>2510</v>
      </c>
      <c r="BH172">
        <v>2983</v>
      </c>
      <c r="BI172">
        <v>3553</v>
      </c>
      <c r="BJ172">
        <v>4006</v>
      </c>
      <c r="BK172">
        <v>4327</v>
      </c>
      <c r="BL172">
        <v>4604</v>
      </c>
      <c r="BM172">
        <v>4869</v>
      </c>
      <c r="BN172">
        <v>5139</v>
      </c>
      <c r="BO172">
        <v>5484</v>
      </c>
      <c r="BP172">
        <v>5843</v>
      </c>
      <c r="BQ172">
        <v>6300</v>
      </c>
      <c r="BR172">
        <v>6780</v>
      </c>
      <c r="BS172">
        <v>7216</v>
      </c>
      <c r="BT172">
        <v>7551</v>
      </c>
      <c r="BU172">
        <v>7857</v>
      </c>
      <c r="BV172">
        <v>8110</v>
      </c>
      <c r="BW172">
        <v>8306</v>
      </c>
      <c r="BX172">
        <v>8442</v>
      </c>
      <c r="BY172">
        <v>8547</v>
      </c>
      <c r="BZ172">
        <v>8609</v>
      </c>
      <c r="CA172">
        <v>8647</v>
      </c>
      <c r="CB172">
        <v>8676</v>
      </c>
      <c r="CC172">
        <v>8699</v>
      </c>
      <c r="CD172">
        <v>8730</v>
      </c>
      <c r="CE172">
        <v>8747</v>
      </c>
      <c r="CF172">
        <v>8754</v>
      </c>
      <c r="CG172">
        <v>8760</v>
      </c>
      <c r="CH172">
        <v>8760</v>
      </c>
      <c r="CI172">
        <v>8760</v>
      </c>
      <c r="CJ172">
        <v>8760</v>
      </c>
      <c r="CK172">
        <v>8760</v>
      </c>
      <c r="CL172">
        <v>8760</v>
      </c>
      <c r="CM172">
        <v>8760</v>
      </c>
      <c r="CN172">
        <v>8760</v>
      </c>
      <c r="CO172">
        <v>8760</v>
      </c>
      <c r="CP172">
        <v>8760</v>
      </c>
      <c r="CQ172">
        <v>8760</v>
      </c>
      <c r="CR172">
        <v>8760</v>
      </c>
      <c r="CS172">
        <v>8760</v>
      </c>
      <c r="CT172">
        <v>8760</v>
      </c>
      <c r="CU172">
        <v>8760</v>
      </c>
      <c r="CV172">
        <v>8760</v>
      </c>
      <c r="CW172">
        <v>8760</v>
      </c>
      <c r="CX172">
        <v>8760</v>
      </c>
      <c r="CY172">
        <v>8760</v>
      </c>
      <c r="CZ172">
        <v>8760</v>
      </c>
      <c r="DA172">
        <v>8760</v>
      </c>
      <c r="DB172">
        <v>8760</v>
      </c>
    </row>
    <row r="173" spans="1:106" x14ac:dyDescent="0.25">
      <c r="A173" s="13" t="s">
        <v>191</v>
      </c>
      <c r="B173" t="s">
        <v>180</v>
      </c>
      <c r="C173" t="s">
        <v>438</v>
      </c>
      <c r="D173" t="s">
        <v>719</v>
      </c>
      <c r="E173" t="s">
        <v>720</v>
      </c>
      <c r="F173">
        <v>102907</v>
      </c>
      <c r="G173">
        <v>0</v>
      </c>
      <c r="H173">
        <v>0</v>
      </c>
      <c r="I173">
        <v>0</v>
      </c>
      <c r="J173">
        <v>0</v>
      </c>
      <c r="K173">
        <v>0</v>
      </c>
      <c r="L173">
        <v>0</v>
      </c>
      <c r="M173">
        <v>0</v>
      </c>
      <c r="N173">
        <v>0</v>
      </c>
      <c r="O173">
        <v>0</v>
      </c>
      <c r="P173">
        <v>0</v>
      </c>
      <c r="Q173">
        <v>0</v>
      </c>
      <c r="R173">
        <v>0</v>
      </c>
      <c r="S173">
        <v>0</v>
      </c>
      <c r="T173">
        <v>0</v>
      </c>
      <c r="U173">
        <v>0</v>
      </c>
      <c r="V173">
        <v>0</v>
      </c>
      <c r="W173">
        <v>0</v>
      </c>
      <c r="X173">
        <v>0</v>
      </c>
      <c r="Y173">
        <v>2</v>
      </c>
      <c r="Z173">
        <v>16</v>
      </c>
      <c r="AA173">
        <v>30</v>
      </c>
      <c r="AB173">
        <v>52</v>
      </c>
      <c r="AC173">
        <v>102</v>
      </c>
      <c r="AD173">
        <v>142</v>
      </c>
      <c r="AE173">
        <v>163</v>
      </c>
      <c r="AF173">
        <v>192</v>
      </c>
      <c r="AG173">
        <v>217</v>
      </c>
      <c r="AH173">
        <v>253</v>
      </c>
      <c r="AI173">
        <v>284</v>
      </c>
      <c r="AJ173">
        <v>320</v>
      </c>
      <c r="AK173">
        <v>361</v>
      </c>
      <c r="AL173">
        <v>396</v>
      </c>
      <c r="AM173">
        <v>439</v>
      </c>
      <c r="AN173">
        <v>505</v>
      </c>
      <c r="AO173">
        <v>564</v>
      </c>
      <c r="AP173">
        <v>631</v>
      </c>
      <c r="AQ173">
        <v>740</v>
      </c>
      <c r="AR173">
        <v>824</v>
      </c>
      <c r="AS173">
        <v>935</v>
      </c>
      <c r="AT173">
        <v>1046</v>
      </c>
      <c r="AU173">
        <v>1192</v>
      </c>
      <c r="AV173">
        <v>1331</v>
      </c>
      <c r="AW173">
        <v>1532</v>
      </c>
      <c r="AX173">
        <v>1743</v>
      </c>
      <c r="AY173">
        <v>1992</v>
      </c>
      <c r="AZ173">
        <v>2223</v>
      </c>
      <c r="BA173">
        <v>2455</v>
      </c>
      <c r="BB173">
        <v>2726</v>
      </c>
      <c r="BC173">
        <v>3090</v>
      </c>
      <c r="BD173">
        <v>3451</v>
      </c>
      <c r="BE173">
        <v>3891</v>
      </c>
      <c r="BF173">
        <v>4222</v>
      </c>
      <c r="BG173">
        <v>4572</v>
      </c>
      <c r="BH173">
        <v>4872</v>
      </c>
      <c r="BI173">
        <v>5133</v>
      </c>
      <c r="BJ173">
        <v>5409</v>
      </c>
      <c r="BK173">
        <v>5703</v>
      </c>
      <c r="BL173">
        <v>5926</v>
      </c>
      <c r="BM173">
        <v>6198</v>
      </c>
      <c r="BN173">
        <v>6501</v>
      </c>
      <c r="BO173">
        <v>6827</v>
      </c>
      <c r="BP173">
        <v>7129</v>
      </c>
      <c r="BQ173">
        <v>7440</v>
      </c>
      <c r="BR173">
        <v>7732</v>
      </c>
      <c r="BS173">
        <v>7941</v>
      </c>
      <c r="BT173">
        <v>8131</v>
      </c>
      <c r="BU173">
        <v>8283</v>
      </c>
      <c r="BV173">
        <v>8412</v>
      </c>
      <c r="BW173">
        <v>8516</v>
      </c>
      <c r="BX173">
        <v>8602</v>
      </c>
      <c r="BY173">
        <v>8651</v>
      </c>
      <c r="BZ173">
        <v>8689</v>
      </c>
      <c r="CA173">
        <v>8721</v>
      </c>
      <c r="CB173">
        <v>8745</v>
      </c>
      <c r="CC173">
        <v>8756</v>
      </c>
      <c r="CD173">
        <v>8760</v>
      </c>
      <c r="CE173">
        <v>8760</v>
      </c>
      <c r="CF173">
        <v>8760</v>
      </c>
      <c r="CG173">
        <v>8760</v>
      </c>
      <c r="CH173">
        <v>8760</v>
      </c>
      <c r="CI173">
        <v>8760</v>
      </c>
      <c r="CJ173">
        <v>8760</v>
      </c>
      <c r="CK173">
        <v>8760</v>
      </c>
      <c r="CL173">
        <v>8760</v>
      </c>
      <c r="CM173">
        <v>8760</v>
      </c>
      <c r="CN173">
        <v>8760</v>
      </c>
      <c r="CO173">
        <v>8760</v>
      </c>
      <c r="CP173">
        <v>8760</v>
      </c>
      <c r="CQ173">
        <v>8760</v>
      </c>
      <c r="CR173">
        <v>8760</v>
      </c>
      <c r="CS173">
        <v>8760</v>
      </c>
      <c r="CT173">
        <v>8760</v>
      </c>
      <c r="CU173">
        <v>8760</v>
      </c>
      <c r="CV173">
        <v>8760</v>
      </c>
      <c r="CW173">
        <v>8760</v>
      </c>
      <c r="CX173">
        <v>8760</v>
      </c>
      <c r="CY173">
        <v>8760</v>
      </c>
      <c r="CZ173">
        <v>8760</v>
      </c>
      <c r="DA173">
        <v>8760</v>
      </c>
      <c r="DB173">
        <v>8760</v>
      </c>
    </row>
    <row r="174" spans="1:106" x14ac:dyDescent="0.25">
      <c r="A174" s="13" t="s">
        <v>192</v>
      </c>
      <c r="B174" t="s">
        <v>181</v>
      </c>
      <c r="C174" t="s">
        <v>438</v>
      </c>
      <c r="D174" t="s">
        <v>721</v>
      </c>
      <c r="E174" t="s">
        <v>722</v>
      </c>
      <c r="F174">
        <v>102209</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3</v>
      </c>
      <c r="AU174">
        <v>20</v>
      </c>
      <c r="AV174">
        <v>43</v>
      </c>
      <c r="AW174">
        <v>74</v>
      </c>
      <c r="AX174">
        <v>111</v>
      </c>
      <c r="AY174">
        <v>176</v>
      </c>
      <c r="AZ174">
        <v>246</v>
      </c>
      <c r="BA174">
        <v>349</v>
      </c>
      <c r="BB174">
        <v>516</v>
      </c>
      <c r="BC174">
        <v>718</v>
      </c>
      <c r="BD174">
        <v>1015</v>
      </c>
      <c r="BE174">
        <v>1379</v>
      </c>
      <c r="BF174">
        <v>1782</v>
      </c>
      <c r="BG174">
        <v>2159</v>
      </c>
      <c r="BH174">
        <v>2617</v>
      </c>
      <c r="BI174">
        <v>3112</v>
      </c>
      <c r="BJ174">
        <v>3587</v>
      </c>
      <c r="BK174">
        <v>3979</v>
      </c>
      <c r="BL174">
        <v>4277</v>
      </c>
      <c r="BM174">
        <v>4598</v>
      </c>
      <c r="BN174">
        <v>5013</v>
      </c>
      <c r="BO174">
        <v>5390</v>
      </c>
      <c r="BP174">
        <v>5800</v>
      </c>
      <c r="BQ174">
        <v>6238</v>
      </c>
      <c r="BR174">
        <v>6730</v>
      </c>
      <c r="BS174">
        <v>7247</v>
      </c>
      <c r="BT174">
        <v>7697</v>
      </c>
      <c r="BU174">
        <v>8036</v>
      </c>
      <c r="BV174">
        <v>8278</v>
      </c>
      <c r="BW174">
        <v>8470</v>
      </c>
      <c r="BX174">
        <v>8587</v>
      </c>
      <c r="BY174">
        <v>8684</v>
      </c>
      <c r="BZ174">
        <v>8737</v>
      </c>
      <c r="CA174">
        <v>8757</v>
      </c>
      <c r="CB174">
        <v>8760</v>
      </c>
      <c r="CC174">
        <v>8760</v>
      </c>
      <c r="CD174">
        <v>8760</v>
      </c>
      <c r="CE174">
        <v>8760</v>
      </c>
      <c r="CF174">
        <v>8760</v>
      </c>
      <c r="CG174">
        <v>8760</v>
      </c>
      <c r="CH174">
        <v>8760</v>
      </c>
      <c r="CI174">
        <v>8760</v>
      </c>
      <c r="CJ174">
        <v>8760</v>
      </c>
      <c r="CK174">
        <v>8760</v>
      </c>
      <c r="CL174">
        <v>8760</v>
      </c>
      <c r="CM174">
        <v>8760</v>
      </c>
      <c r="CN174">
        <v>8760</v>
      </c>
      <c r="CO174">
        <v>8760</v>
      </c>
      <c r="CP174">
        <v>8760</v>
      </c>
      <c r="CQ174">
        <v>8760</v>
      </c>
      <c r="CR174">
        <v>8760</v>
      </c>
      <c r="CS174">
        <v>8760</v>
      </c>
      <c r="CT174">
        <v>8760</v>
      </c>
      <c r="CU174">
        <v>8760</v>
      </c>
      <c r="CV174">
        <v>8760</v>
      </c>
      <c r="CW174">
        <v>8760</v>
      </c>
      <c r="CX174">
        <v>8760</v>
      </c>
      <c r="CY174">
        <v>8760</v>
      </c>
      <c r="CZ174">
        <v>8760</v>
      </c>
      <c r="DA174">
        <v>8760</v>
      </c>
      <c r="DB174">
        <v>8760</v>
      </c>
    </row>
    <row r="175" spans="1:106" x14ac:dyDescent="0.25">
      <c r="A175" s="13" t="s">
        <v>193</v>
      </c>
      <c r="B175" t="s">
        <v>395</v>
      </c>
      <c r="C175" t="s">
        <v>438</v>
      </c>
      <c r="D175" t="s">
        <v>723</v>
      </c>
      <c r="E175" t="s">
        <v>724</v>
      </c>
      <c r="F175">
        <v>102420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6</v>
      </c>
      <c r="AL175">
        <v>10</v>
      </c>
      <c r="AM175">
        <v>15</v>
      </c>
      <c r="AN175">
        <v>30</v>
      </c>
      <c r="AO175">
        <v>41</v>
      </c>
      <c r="AP175">
        <v>54</v>
      </c>
      <c r="AQ175">
        <v>76</v>
      </c>
      <c r="AR175">
        <v>95</v>
      </c>
      <c r="AS175">
        <v>127</v>
      </c>
      <c r="AT175">
        <v>176</v>
      </c>
      <c r="AU175">
        <v>247</v>
      </c>
      <c r="AV175">
        <v>335</v>
      </c>
      <c r="AW175">
        <v>448</v>
      </c>
      <c r="AX175">
        <v>557</v>
      </c>
      <c r="AY175">
        <v>703</v>
      </c>
      <c r="AZ175">
        <v>848</v>
      </c>
      <c r="BA175">
        <v>1029</v>
      </c>
      <c r="BB175">
        <v>1284</v>
      </c>
      <c r="BC175">
        <v>1599</v>
      </c>
      <c r="BD175">
        <v>1964</v>
      </c>
      <c r="BE175">
        <v>2450</v>
      </c>
      <c r="BF175">
        <v>2903</v>
      </c>
      <c r="BG175">
        <v>3366</v>
      </c>
      <c r="BH175">
        <v>3705</v>
      </c>
      <c r="BI175">
        <v>4026</v>
      </c>
      <c r="BJ175">
        <v>4343</v>
      </c>
      <c r="BK175">
        <v>4685</v>
      </c>
      <c r="BL175">
        <v>4946</v>
      </c>
      <c r="BM175">
        <v>5295</v>
      </c>
      <c r="BN175">
        <v>5694</v>
      </c>
      <c r="BO175">
        <v>6084</v>
      </c>
      <c r="BP175">
        <v>6450</v>
      </c>
      <c r="BQ175">
        <v>6800</v>
      </c>
      <c r="BR175">
        <v>7172</v>
      </c>
      <c r="BS175">
        <v>7478</v>
      </c>
      <c r="BT175">
        <v>7732</v>
      </c>
      <c r="BU175">
        <v>7960</v>
      </c>
      <c r="BV175">
        <v>8152</v>
      </c>
      <c r="BW175">
        <v>8288</v>
      </c>
      <c r="BX175">
        <v>8417</v>
      </c>
      <c r="BY175">
        <v>8506</v>
      </c>
      <c r="BZ175">
        <v>8570</v>
      </c>
      <c r="CA175">
        <v>8629</v>
      </c>
      <c r="CB175">
        <v>8667</v>
      </c>
      <c r="CC175">
        <v>8698</v>
      </c>
      <c r="CD175">
        <v>8732</v>
      </c>
      <c r="CE175">
        <v>8745</v>
      </c>
      <c r="CF175">
        <v>8749</v>
      </c>
      <c r="CG175">
        <v>8757</v>
      </c>
      <c r="CH175">
        <v>8760</v>
      </c>
      <c r="CI175">
        <v>8760</v>
      </c>
      <c r="CJ175">
        <v>8760</v>
      </c>
      <c r="CK175">
        <v>8760</v>
      </c>
      <c r="CL175">
        <v>8760</v>
      </c>
      <c r="CM175">
        <v>8760</v>
      </c>
      <c r="CN175">
        <v>8760</v>
      </c>
      <c r="CO175">
        <v>8760</v>
      </c>
      <c r="CP175">
        <v>8760</v>
      </c>
      <c r="CQ175">
        <v>8760</v>
      </c>
      <c r="CR175">
        <v>8760</v>
      </c>
      <c r="CS175">
        <v>8760</v>
      </c>
      <c r="CT175">
        <v>8760</v>
      </c>
      <c r="CU175">
        <v>8760</v>
      </c>
      <c r="CV175">
        <v>8760</v>
      </c>
      <c r="CW175">
        <v>8760</v>
      </c>
      <c r="CX175">
        <v>8760</v>
      </c>
      <c r="CY175">
        <v>8760</v>
      </c>
      <c r="CZ175">
        <v>8760</v>
      </c>
      <c r="DA175">
        <v>8760</v>
      </c>
      <c r="DB175">
        <v>8760</v>
      </c>
    </row>
    <row r="176" spans="1:106" x14ac:dyDescent="0.25">
      <c r="A176" s="13" t="s">
        <v>194</v>
      </c>
      <c r="B176" t="s">
        <v>398</v>
      </c>
    </row>
    <row r="177" spans="1:106" x14ac:dyDescent="0.25">
      <c r="A177" s="13" t="s">
        <v>195</v>
      </c>
      <c r="B177" t="s">
        <v>399</v>
      </c>
    </row>
    <row r="178" spans="1:106" x14ac:dyDescent="0.25">
      <c r="A178" s="13" t="s">
        <v>196</v>
      </c>
      <c r="B178" t="s">
        <v>184</v>
      </c>
      <c r="C178" t="s">
        <v>438</v>
      </c>
      <c r="D178" t="s">
        <v>396</v>
      </c>
      <c r="E178" t="s">
        <v>397</v>
      </c>
      <c r="F178">
        <v>102105</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9</v>
      </c>
      <c r="AV178">
        <v>12</v>
      </c>
      <c r="AW178">
        <v>24</v>
      </c>
      <c r="AX178">
        <v>44</v>
      </c>
      <c r="AY178">
        <v>67</v>
      </c>
      <c r="AZ178">
        <v>97</v>
      </c>
      <c r="BA178">
        <v>186</v>
      </c>
      <c r="BB178">
        <v>301</v>
      </c>
      <c r="BC178">
        <v>465</v>
      </c>
      <c r="BD178">
        <v>733</v>
      </c>
      <c r="BE178">
        <v>1077</v>
      </c>
      <c r="BF178">
        <v>1492</v>
      </c>
      <c r="BG178">
        <v>1924</v>
      </c>
      <c r="BH178">
        <v>2429</v>
      </c>
      <c r="BI178">
        <v>2949</v>
      </c>
      <c r="BJ178">
        <v>3445</v>
      </c>
      <c r="BK178">
        <v>3909</v>
      </c>
      <c r="BL178">
        <v>4304</v>
      </c>
      <c r="BM178">
        <v>4597</v>
      </c>
      <c r="BN178">
        <v>4978</v>
      </c>
      <c r="BO178">
        <v>5331</v>
      </c>
      <c r="BP178">
        <v>5695</v>
      </c>
      <c r="BQ178">
        <v>6052</v>
      </c>
      <c r="BR178">
        <v>6453</v>
      </c>
      <c r="BS178">
        <v>6938</v>
      </c>
      <c r="BT178">
        <v>7366</v>
      </c>
      <c r="BU178">
        <v>7683</v>
      </c>
      <c r="BV178">
        <v>7980</v>
      </c>
      <c r="BW178">
        <v>8222</v>
      </c>
      <c r="BX178">
        <v>8374</v>
      </c>
      <c r="BY178">
        <v>8500</v>
      </c>
      <c r="BZ178">
        <v>8582</v>
      </c>
      <c r="CA178">
        <v>8641</v>
      </c>
      <c r="CB178">
        <v>8674</v>
      </c>
      <c r="CC178">
        <v>8702</v>
      </c>
      <c r="CD178">
        <v>8724</v>
      </c>
      <c r="CE178">
        <v>8739</v>
      </c>
      <c r="CF178">
        <v>8758</v>
      </c>
      <c r="CG178">
        <v>8760</v>
      </c>
      <c r="CH178">
        <v>8760</v>
      </c>
      <c r="CI178">
        <v>8760</v>
      </c>
      <c r="CJ178">
        <v>8760</v>
      </c>
      <c r="CK178">
        <v>8760</v>
      </c>
      <c r="CL178">
        <v>8760</v>
      </c>
      <c r="CM178">
        <v>8760</v>
      </c>
      <c r="CN178">
        <v>8760</v>
      </c>
      <c r="CO178">
        <v>8760</v>
      </c>
      <c r="CP178">
        <v>8760</v>
      </c>
      <c r="CQ178">
        <v>8760</v>
      </c>
      <c r="CR178">
        <v>8760</v>
      </c>
      <c r="CS178">
        <v>8760</v>
      </c>
      <c r="CT178">
        <v>8760</v>
      </c>
      <c r="CU178">
        <v>8760</v>
      </c>
      <c r="CV178">
        <v>8760</v>
      </c>
      <c r="CW178">
        <v>8760</v>
      </c>
      <c r="CX178">
        <v>8760</v>
      </c>
      <c r="CY178">
        <v>8760</v>
      </c>
      <c r="CZ178">
        <v>8760</v>
      </c>
      <c r="DA178">
        <v>8760</v>
      </c>
      <c r="DB178">
        <v>8760</v>
      </c>
    </row>
    <row r="179" spans="1:106" x14ac:dyDescent="0.25">
      <c r="A179" s="13" t="s">
        <v>197</v>
      </c>
      <c r="B179" t="s">
        <v>185</v>
      </c>
      <c r="C179" t="s">
        <v>438</v>
      </c>
      <c r="D179" t="s">
        <v>725</v>
      </c>
      <c r="E179" t="s">
        <v>726</v>
      </c>
      <c r="F179">
        <v>102704</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2</v>
      </c>
      <c r="AF179">
        <v>6</v>
      </c>
      <c r="AG179">
        <v>12</v>
      </c>
      <c r="AH179">
        <v>17</v>
      </c>
      <c r="AI179">
        <v>25</v>
      </c>
      <c r="AJ179">
        <v>33</v>
      </c>
      <c r="AK179">
        <v>45</v>
      </c>
      <c r="AL179">
        <v>64</v>
      </c>
      <c r="AM179">
        <v>79</v>
      </c>
      <c r="AN179">
        <v>107</v>
      </c>
      <c r="AO179">
        <v>142</v>
      </c>
      <c r="AP179">
        <v>200</v>
      </c>
      <c r="AQ179">
        <v>276</v>
      </c>
      <c r="AR179">
        <v>363</v>
      </c>
      <c r="AS179">
        <v>467</v>
      </c>
      <c r="AT179">
        <v>556</v>
      </c>
      <c r="AU179">
        <v>667</v>
      </c>
      <c r="AV179">
        <v>785</v>
      </c>
      <c r="AW179">
        <v>895</v>
      </c>
      <c r="AX179">
        <v>1069</v>
      </c>
      <c r="AY179">
        <v>1306</v>
      </c>
      <c r="AZ179">
        <v>1589</v>
      </c>
      <c r="BA179">
        <v>1920</v>
      </c>
      <c r="BB179">
        <v>2297</v>
      </c>
      <c r="BC179">
        <v>2636</v>
      </c>
      <c r="BD179">
        <v>3043</v>
      </c>
      <c r="BE179">
        <v>3526</v>
      </c>
      <c r="BF179">
        <v>3934</v>
      </c>
      <c r="BG179">
        <v>4324</v>
      </c>
      <c r="BH179">
        <v>4638</v>
      </c>
      <c r="BI179">
        <v>4961</v>
      </c>
      <c r="BJ179">
        <v>5228</v>
      </c>
      <c r="BK179">
        <v>5528</v>
      </c>
      <c r="BL179">
        <v>5771</v>
      </c>
      <c r="BM179">
        <v>6036</v>
      </c>
      <c r="BN179">
        <v>6328</v>
      </c>
      <c r="BO179">
        <v>6620</v>
      </c>
      <c r="BP179">
        <v>6909</v>
      </c>
      <c r="BQ179">
        <v>7192</v>
      </c>
      <c r="BR179">
        <v>7453</v>
      </c>
      <c r="BS179">
        <v>7700</v>
      </c>
      <c r="BT179">
        <v>7900</v>
      </c>
      <c r="BU179">
        <v>8096</v>
      </c>
      <c r="BV179">
        <v>8240</v>
      </c>
      <c r="BW179">
        <v>8349</v>
      </c>
      <c r="BX179">
        <v>8447</v>
      </c>
      <c r="BY179">
        <v>8537</v>
      </c>
      <c r="BZ179">
        <v>8612</v>
      </c>
      <c r="CA179">
        <v>8654</v>
      </c>
      <c r="CB179">
        <v>8679</v>
      </c>
      <c r="CC179">
        <v>8699</v>
      </c>
      <c r="CD179">
        <v>8711</v>
      </c>
      <c r="CE179">
        <v>8728</v>
      </c>
      <c r="CF179">
        <v>8755</v>
      </c>
      <c r="CG179">
        <v>8760</v>
      </c>
      <c r="CH179">
        <v>8760</v>
      </c>
      <c r="CI179">
        <v>8760</v>
      </c>
      <c r="CJ179">
        <v>8760</v>
      </c>
      <c r="CK179">
        <v>8760</v>
      </c>
      <c r="CL179">
        <v>8760</v>
      </c>
      <c r="CM179">
        <v>8760</v>
      </c>
      <c r="CN179">
        <v>8760</v>
      </c>
      <c r="CO179">
        <v>8760</v>
      </c>
      <c r="CP179">
        <v>8760</v>
      </c>
      <c r="CQ179">
        <v>8760</v>
      </c>
      <c r="CR179">
        <v>8760</v>
      </c>
      <c r="CS179">
        <v>8760</v>
      </c>
      <c r="CT179">
        <v>8760</v>
      </c>
      <c r="CU179">
        <v>8760</v>
      </c>
      <c r="CV179">
        <v>8760</v>
      </c>
      <c r="CW179">
        <v>8760</v>
      </c>
      <c r="CX179">
        <v>8760</v>
      </c>
      <c r="CY179">
        <v>8760</v>
      </c>
      <c r="CZ179">
        <v>8760</v>
      </c>
      <c r="DA179">
        <v>8760</v>
      </c>
      <c r="DB179">
        <v>8760</v>
      </c>
    </row>
    <row r="180" spans="1:106" x14ac:dyDescent="0.25">
      <c r="A180" s="13" t="s">
        <v>198</v>
      </c>
      <c r="B180" t="s">
        <v>400</v>
      </c>
      <c r="C180" t="s">
        <v>438</v>
      </c>
      <c r="D180" t="s">
        <v>727</v>
      </c>
      <c r="E180" t="s">
        <v>728</v>
      </c>
      <c r="F180">
        <v>102915</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13</v>
      </c>
      <c r="AF180">
        <v>25</v>
      </c>
      <c r="AG180">
        <v>49</v>
      </c>
      <c r="AH180">
        <v>77</v>
      </c>
      <c r="AI180">
        <v>112</v>
      </c>
      <c r="AJ180">
        <v>164</v>
      </c>
      <c r="AK180">
        <v>223</v>
      </c>
      <c r="AL180">
        <v>300</v>
      </c>
      <c r="AM180">
        <v>369</v>
      </c>
      <c r="AN180">
        <v>449</v>
      </c>
      <c r="AO180">
        <v>522</v>
      </c>
      <c r="AP180">
        <v>634</v>
      </c>
      <c r="AQ180">
        <v>758</v>
      </c>
      <c r="AR180">
        <v>883</v>
      </c>
      <c r="AS180">
        <v>1016</v>
      </c>
      <c r="AT180">
        <v>1190</v>
      </c>
      <c r="AU180">
        <v>1390</v>
      </c>
      <c r="AV180">
        <v>1637</v>
      </c>
      <c r="AW180">
        <v>1880</v>
      </c>
      <c r="AX180">
        <v>2171</v>
      </c>
      <c r="AY180">
        <v>2460</v>
      </c>
      <c r="AZ180">
        <v>2747</v>
      </c>
      <c r="BA180">
        <v>3050</v>
      </c>
      <c r="BB180">
        <v>3330</v>
      </c>
      <c r="BC180">
        <v>3636</v>
      </c>
      <c r="BD180">
        <v>3960</v>
      </c>
      <c r="BE180">
        <v>4257</v>
      </c>
      <c r="BF180">
        <v>4585</v>
      </c>
      <c r="BG180">
        <v>4841</v>
      </c>
      <c r="BH180">
        <v>5081</v>
      </c>
      <c r="BI180">
        <v>5363</v>
      </c>
      <c r="BJ180">
        <v>5624</v>
      </c>
      <c r="BK180">
        <v>5920</v>
      </c>
      <c r="BL180">
        <v>6236</v>
      </c>
      <c r="BM180">
        <v>6519</v>
      </c>
      <c r="BN180">
        <v>6806</v>
      </c>
      <c r="BO180">
        <v>7076</v>
      </c>
      <c r="BP180">
        <v>7339</v>
      </c>
      <c r="BQ180">
        <v>7627</v>
      </c>
      <c r="BR180">
        <v>7861</v>
      </c>
      <c r="BS180">
        <v>8069</v>
      </c>
      <c r="BT180">
        <v>8233</v>
      </c>
      <c r="BU180">
        <v>8378</v>
      </c>
      <c r="BV180">
        <v>8469</v>
      </c>
      <c r="BW180">
        <v>8549</v>
      </c>
      <c r="BX180">
        <v>8623</v>
      </c>
      <c r="BY180">
        <v>8682</v>
      </c>
      <c r="BZ180">
        <v>8723</v>
      </c>
      <c r="CA180">
        <v>8744</v>
      </c>
      <c r="CB180">
        <v>8747</v>
      </c>
      <c r="CC180">
        <v>8750</v>
      </c>
      <c r="CD180">
        <v>8752</v>
      </c>
      <c r="CE180">
        <v>8753</v>
      </c>
      <c r="CF180">
        <v>8754</v>
      </c>
      <c r="CG180">
        <v>8755</v>
      </c>
      <c r="CH180">
        <v>8760</v>
      </c>
      <c r="CI180">
        <v>8760</v>
      </c>
      <c r="CJ180">
        <v>8760</v>
      </c>
      <c r="CK180">
        <v>8760</v>
      </c>
      <c r="CL180">
        <v>8760</v>
      </c>
      <c r="CM180">
        <v>8760</v>
      </c>
      <c r="CN180">
        <v>8760</v>
      </c>
      <c r="CO180">
        <v>8760</v>
      </c>
      <c r="CP180">
        <v>8760</v>
      </c>
      <c r="CQ180">
        <v>8760</v>
      </c>
      <c r="CR180">
        <v>8760</v>
      </c>
      <c r="CS180">
        <v>8760</v>
      </c>
      <c r="CT180">
        <v>8760</v>
      </c>
      <c r="CU180">
        <v>8760</v>
      </c>
      <c r="CV180">
        <v>8760</v>
      </c>
      <c r="CW180">
        <v>8760</v>
      </c>
      <c r="CX180">
        <v>8760</v>
      </c>
      <c r="CY180">
        <v>8760</v>
      </c>
      <c r="CZ180">
        <v>8760</v>
      </c>
      <c r="DA180">
        <v>8760</v>
      </c>
      <c r="DB180">
        <v>8760</v>
      </c>
    </row>
    <row r="181" spans="1:106" x14ac:dyDescent="0.25">
      <c r="A181" s="13" t="s">
        <v>199</v>
      </c>
      <c r="B181" t="s">
        <v>186</v>
      </c>
      <c r="C181" t="s">
        <v>438</v>
      </c>
      <c r="D181" t="s">
        <v>729</v>
      </c>
      <c r="E181" t="s">
        <v>730</v>
      </c>
      <c r="F181">
        <v>102219</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4</v>
      </c>
      <c r="AK181">
        <v>10</v>
      </c>
      <c r="AL181">
        <v>20</v>
      </c>
      <c r="AM181">
        <v>24</v>
      </c>
      <c r="AN181">
        <v>27</v>
      </c>
      <c r="AO181">
        <v>32</v>
      </c>
      <c r="AP181">
        <v>35</v>
      </c>
      <c r="AQ181">
        <v>40</v>
      </c>
      <c r="AR181">
        <v>56</v>
      </c>
      <c r="AS181">
        <v>78</v>
      </c>
      <c r="AT181">
        <v>92</v>
      </c>
      <c r="AU181">
        <v>112</v>
      </c>
      <c r="AV181">
        <v>137</v>
      </c>
      <c r="AW181">
        <v>188</v>
      </c>
      <c r="AX181">
        <v>252</v>
      </c>
      <c r="AY181">
        <v>338</v>
      </c>
      <c r="AZ181">
        <v>451</v>
      </c>
      <c r="BA181">
        <v>583</v>
      </c>
      <c r="BB181">
        <v>772</v>
      </c>
      <c r="BC181">
        <v>1070</v>
      </c>
      <c r="BD181">
        <v>1506</v>
      </c>
      <c r="BE181">
        <v>1953</v>
      </c>
      <c r="BF181">
        <v>2486</v>
      </c>
      <c r="BG181">
        <v>2875</v>
      </c>
      <c r="BH181">
        <v>3248</v>
      </c>
      <c r="BI181">
        <v>3572</v>
      </c>
      <c r="BJ181">
        <v>3955</v>
      </c>
      <c r="BK181">
        <v>4331</v>
      </c>
      <c r="BL181">
        <v>4625</v>
      </c>
      <c r="BM181">
        <v>4971</v>
      </c>
      <c r="BN181">
        <v>5354</v>
      </c>
      <c r="BO181">
        <v>5754</v>
      </c>
      <c r="BP181">
        <v>6152</v>
      </c>
      <c r="BQ181">
        <v>6590</v>
      </c>
      <c r="BR181">
        <v>6983</v>
      </c>
      <c r="BS181">
        <v>7337</v>
      </c>
      <c r="BT181">
        <v>7646</v>
      </c>
      <c r="BU181">
        <v>7934</v>
      </c>
      <c r="BV181">
        <v>8172</v>
      </c>
      <c r="BW181">
        <v>8337</v>
      </c>
      <c r="BX181">
        <v>8476</v>
      </c>
      <c r="BY181">
        <v>8578</v>
      </c>
      <c r="BZ181">
        <v>8641</v>
      </c>
      <c r="CA181">
        <v>8672</v>
      </c>
      <c r="CB181">
        <v>8694</v>
      </c>
      <c r="CC181">
        <v>8730</v>
      </c>
      <c r="CD181">
        <v>8751</v>
      </c>
      <c r="CE181">
        <v>8758</v>
      </c>
      <c r="CF181">
        <v>8760</v>
      </c>
      <c r="CG181">
        <v>8760</v>
      </c>
      <c r="CH181">
        <v>8760</v>
      </c>
      <c r="CI181">
        <v>8760</v>
      </c>
      <c r="CJ181">
        <v>8760</v>
      </c>
      <c r="CK181">
        <v>8760</v>
      </c>
      <c r="CL181">
        <v>8760</v>
      </c>
      <c r="CM181">
        <v>8760</v>
      </c>
      <c r="CN181">
        <v>8760</v>
      </c>
      <c r="CO181">
        <v>8760</v>
      </c>
      <c r="CP181">
        <v>8760</v>
      </c>
      <c r="CQ181">
        <v>8760</v>
      </c>
      <c r="CR181">
        <v>8760</v>
      </c>
      <c r="CS181">
        <v>8760</v>
      </c>
      <c r="CT181">
        <v>8760</v>
      </c>
      <c r="CU181">
        <v>8760</v>
      </c>
      <c r="CV181">
        <v>8760</v>
      </c>
      <c r="CW181">
        <v>8760</v>
      </c>
      <c r="CX181">
        <v>8760</v>
      </c>
      <c r="CY181">
        <v>8760</v>
      </c>
      <c r="CZ181">
        <v>8760</v>
      </c>
      <c r="DA181">
        <v>8760</v>
      </c>
      <c r="DB181">
        <v>8760</v>
      </c>
    </row>
    <row r="182" spans="1:106" x14ac:dyDescent="0.25">
      <c r="A182" s="13" t="s">
        <v>200</v>
      </c>
      <c r="B182" t="s">
        <v>401</v>
      </c>
    </row>
    <row r="183" spans="1:106" x14ac:dyDescent="0.25">
      <c r="A183" s="13" t="s">
        <v>201</v>
      </c>
      <c r="B183" t="s">
        <v>187</v>
      </c>
      <c r="C183" t="s">
        <v>438</v>
      </c>
      <c r="D183" t="s">
        <v>731</v>
      </c>
      <c r="E183" t="s">
        <v>732</v>
      </c>
      <c r="F183">
        <v>102303</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2</v>
      </c>
      <c r="AN183">
        <v>5</v>
      </c>
      <c r="AO183">
        <v>7</v>
      </c>
      <c r="AP183">
        <v>10</v>
      </c>
      <c r="AQ183">
        <v>17</v>
      </c>
      <c r="AR183">
        <v>31</v>
      </c>
      <c r="AS183">
        <v>47</v>
      </c>
      <c r="AT183">
        <v>75</v>
      </c>
      <c r="AU183">
        <v>107</v>
      </c>
      <c r="AV183">
        <v>156</v>
      </c>
      <c r="AW183">
        <v>218</v>
      </c>
      <c r="AX183">
        <v>272</v>
      </c>
      <c r="AY183">
        <v>346</v>
      </c>
      <c r="AZ183">
        <v>458</v>
      </c>
      <c r="BA183">
        <v>609</v>
      </c>
      <c r="BB183">
        <v>798</v>
      </c>
      <c r="BC183">
        <v>1004</v>
      </c>
      <c r="BD183">
        <v>1329</v>
      </c>
      <c r="BE183">
        <v>1844</v>
      </c>
      <c r="BF183">
        <v>2287</v>
      </c>
      <c r="BG183">
        <v>2730</v>
      </c>
      <c r="BH183">
        <v>3204</v>
      </c>
      <c r="BI183">
        <v>3627</v>
      </c>
      <c r="BJ183">
        <v>4041</v>
      </c>
      <c r="BK183">
        <v>4392</v>
      </c>
      <c r="BL183">
        <v>4692</v>
      </c>
      <c r="BM183">
        <v>4982</v>
      </c>
      <c r="BN183">
        <v>5315</v>
      </c>
      <c r="BO183">
        <v>5698</v>
      </c>
      <c r="BP183">
        <v>6139</v>
      </c>
      <c r="BQ183">
        <v>6530</v>
      </c>
      <c r="BR183">
        <v>6887</v>
      </c>
      <c r="BS183">
        <v>7233</v>
      </c>
      <c r="BT183">
        <v>7556</v>
      </c>
      <c r="BU183">
        <v>7819</v>
      </c>
      <c r="BV183">
        <v>8057</v>
      </c>
      <c r="BW183">
        <v>8225</v>
      </c>
      <c r="BX183">
        <v>8355</v>
      </c>
      <c r="BY183">
        <v>8452</v>
      </c>
      <c r="BZ183">
        <v>8541</v>
      </c>
      <c r="CA183">
        <v>8598</v>
      </c>
      <c r="CB183">
        <v>8655</v>
      </c>
      <c r="CC183">
        <v>8692</v>
      </c>
      <c r="CD183">
        <v>8709</v>
      </c>
      <c r="CE183">
        <v>8724</v>
      </c>
      <c r="CF183">
        <v>8735</v>
      </c>
      <c r="CG183">
        <v>8747</v>
      </c>
      <c r="CH183">
        <v>8755</v>
      </c>
      <c r="CI183">
        <v>8759</v>
      </c>
      <c r="CJ183">
        <v>8760</v>
      </c>
      <c r="CK183">
        <v>8760</v>
      </c>
      <c r="CL183">
        <v>8760</v>
      </c>
      <c r="CM183">
        <v>8760</v>
      </c>
      <c r="CN183">
        <v>8760</v>
      </c>
      <c r="CO183">
        <v>8760</v>
      </c>
      <c r="CP183">
        <v>8760</v>
      </c>
      <c r="CQ183">
        <v>8760</v>
      </c>
      <c r="CR183">
        <v>8760</v>
      </c>
      <c r="CS183">
        <v>8760</v>
      </c>
      <c r="CT183">
        <v>8760</v>
      </c>
      <c r="CU183">
        <v>8760</v>
      </c>
      <c r="CV183">
        <v>8760</v>
      </c>
      <c r="CW183">
        <v>8760</v>
      </c>
      <c r="CX183">
        <v>8760</v>
      </c>
      <c r="CY183">
        <v>8760</v>
      </c>
      <c r="CZ183">
        <v>8760</v>
      </c>
      <c r="DA183">
        <v>8760</v>
      </c>
      <c r="DB183">
        <v>8760</v>
      </c>
    </row>
    <row r="184" spans="1:106" x14ac:dyDescent="0.25">
      <c r="A184" s="13" t="s">
        <v>202</v>
      </c>
      <c r="B184" t="s">
        <v>189</v>
      </c>
      <c r="C184" t="s">
        <v>438</v>
      </c>
      <c r="D184" t="s">
        <v>733</v>
      </c>
      <c r="E184" t="s">
        <v>734</v>
      </c>
      <c r="F184">
        <v>102220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1</v>
      </c>
      <c r="AO184">
        <v>5</v>
      </c>
      <c r="AP184">
        <v>8</v>
      </c>
      <c r="AQ184">
        <v>12</v>
      </c>
      <c r="AR184">
        <v>17</v>
      </c>
      <c r="AS184">
        <v>23</v>
      </c>
      <c r="AT184">
        <v>36</v>
      </c>
      <c r="AU184">
        <v>59</v>
      </c>
      <c r="AV184">
        <v>89</v>
      </c>
      <c r="AW184">
        <v>145</v>
      </c>
      <c r="AX184">
        <v>237</v>
      </c>
      <c r="AY184">
        <v>357</v>
      </c>
      <c r="AZ184">
        <v>523</v>
      </c>
      <c r="BA184">
        <v>712</v>
      </c>
      <c r="BB184">
        <v>962</v>
      </c>
      <c r="BC184">
        <v>1249</v>
      </c>
      <c r="BD184">
        <v>1562</v>
      </c>
      <c r="BE184">
        <v>1977</v>
      </c>
      <c r="BF184">
        <v>2439</v>
      </c>
      <c r="BG184">
        <v>2826</v>
      </c>
      <c r="BH184">
        <v>3253</v>
      </c>
      <c r="BI184">
        <v>3649</v>
      </c>
      <c r="BJ184">
        <v>4011</v>
      </c>
      <c r="BK184">
        <v>4403</v>
      </c>
      <c r="BL184">
        <v>4734</v>
      </c>
      <c r="BM184">
        <v>5127</v>
      </c>
      <c r="BN184">
        <v>5567</v>
      </c>
      <c r="BO184">
        <v>6004</v>
      </c>
      <c r="BP184">
        <v>6393</v>
      </c>
      <c r="BQ184">
        <v>6778</v>
      </c>
      <c r="BR184">
        <v>7124</v>
      </c>
      <c r="BS184">
        <v>7440</v>
      </c>
      <c r="BT184">
        <v>7733</v>
      </c>
      <c r="BU184">
        <v>7946</v>
      </c>
      <c r="BV184">
        <v>8127</v>
      </c>
      <c r="BW184">
        <v>8282</v>
      </c>
      <c r="BX184">
        <v>8429</v>
      </c>
      <c r="BY184">
        <v>8547</v>
      </c>
      <c r="BZ184">
        <v>8614</v>
      </c>
      <c r="CA184">
        <v>8665</v>
      </c>
      <c r="CB184">
        <v>8705</v>
      </c>
      <c r="CC184">
        <v>8732</v>
      </c>
      <c r="CD184">
        <v>8748</v>
      </c>
      <c r="CE184">
        <v>8758</v>
      </c>
      <c r="CF184">
        <v>8760</v>
      </c>
      <c r="CG184">
        <v>8760</v>
      </c>
      <c r="CH184">
        <v>8760</v>
      </c>
      <c r="CI184">
        <v>8760</v>
      </c>
      <c r="CJ184">
        <v>8760</v>
      </c>
      <c r="CK184">
        <v>8760</v>
      </c>
      <c r="CL184">
        <v>8760</v>
      </c>
      <c r="CM184">
        <v>8760</v>
      </c>
      <c r="CN184">
        <v>8760</v>
      </c>
      <c r="CO184">
        <v>8760</v>
      </c>
      <c r="CP184">
        <v>8760</v>
      </c>
      <c r="CQ184">
        <v>8760</v>
      </c>
      <c r="CR184">
        <v>8760</v>
      </c>
      <c r="CS184">
        <v>8760</v>
      </c>
      <c r="CT184">
        <v>8760</v>
      </c>
      <c r="CU184">
        <v>8760</v>
      </c>
      <c r="CV184">
        <v>8760</v>
      </c>
      <c r="CW184">
        <v>8760</v>
      </c>
      <c r="CX184">
        <v>8760</v>
      </c>
      <c r="CY184">
        <v>8760</v>
      </c>
      <c r="CZ184">
        <v>8760</v>
      </c>
      <c r="DA184">
        <v>8760</v>
      </c>
      <c r="DB184">
        <v>8760</v>
      </c>
    </row>
    <row r="185" spans="1:106" x14ac:dyDescent="0.25">
      <c r="A185" s="13" t="s">
        <v>203</v>
      </c>
      <c r="B185" t="s">
        <v>190</v>
      </c>
      <c r="C185" t="s">
        <v>438</v>
      </c>
      <c r="D185" t="s">
        <v>735</v>
      </c>
      <c r="E185" t="s">
        <v>736</v>
      </c>
      <c r="F185">
        <v>102402</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7</v>
      </c>
      <c r="AO185">
        <v>16</v>
      </c>
      <c r="AP185">
        <v>22</v>
      </c>
      <c r="AQ185">
        <v>31</v>
      </c>
      <c r="AR185">
        <v>82</v>
      </c>
      <c r="AS185">
        <v>133</v>
      </c>
      <c r="AT185">
        <v>181</v>
      </c>
      <c r="AU185">
        <v>250</v>
      </c>
      <c r="AV185">
        <v>316</v>
      </c>
      <c r="AW185">
        <v>386</v>
      </c>
      <c r="AX185">
        <v>481</v>
      </c>
      <c r="AY185">
        <v>616</v>
      </c>
      <c r="AZ185">
        <v>830</v>
      </c>
      <c r="BA185">
        <v>1081</v>
      </c>
      <c r="BB185">
        <v>1343</v>
      </c>
      <c r="BC185">
        <v>1642</v>
      </c>
      <c r="BD185">
        <v>1927</v>
      </c>
      <c r="BE185">
        <v>2348</v>
      </c>
      <c r="BF185">
        <v>2729</v>
      </c>
      <c r="BG185">
        <v>3042</v>
      </c>
      <c r="BH185">
        <v>3354</v>
      </c>
      <c r="BI185">
        <v>3699</v>
      </c>
      <c r="BJ185">
        <v>4122</v>
      </c>
      <c r="BK185">
        <v>4482</v>
      </c>
      <c r="BL185">
        <v>4836</v>
      </c>
      <c r="BM185">
        <v>5204</v>
      </c>
      <c r="BN185">
        <v>5539</v>
      </c>
      <c r="BO185">
        <v>5888</v>
      </c>
      <c r="BP185">
        <v>6252</v>
      </c>
      <c r="BQ185">
        <v>6616</v>
      </c>
      <c r="BR185">
        <v>6969</v>
      </c>
      <c r="BS185">
        <v>7284</v>
      </c>
      <c r="BT185">
        <v>7593</v>
      </c>
      <c r="BU185">
        <v>7834</v>
      </c>
      <c r="BV185">
        <v>8091</v>
      </c>
      <c r="BW185">
        <v>8266</v>
      </c>
      <c r="BX185">
        <v>8387</v>
      </c>
      <c r="BY185">
        <v>8512</v>
      </c>
      <c r="BZ185">
        <v>8589</v>
      </c>
      <c r="CA185">
        <v>8636</v>
      </c>
      <c r="CB185">
        <v>8674</v>
      </c>
      <c r="CC185">
        <v>8702</v>
      </c>
      <c r="CD185">
        <v>8730</v>
      </c>
      <c r="CE185">
        <v>8744</v>
      </c>
      <c r="CF185">
        <v>8752</v>
      </c>
      <c r="CG185">
        <v>8756</v>
      </c>
      <c r="CH185">
        <v>8760</v>
      </c>
      <c r="CI185">
        <v>8760</v>
      </c>
      <c r="CJ185">
        <v>8760</v>
      </c>
      <c r="CK185">
        <v>8760</v>
      </c>
      <c r="CL185">
        <v>8760</v>
      </c>
      <c r="CM185">
        <v>8760</v>
      </c>
      <c r="CN185">
        <v>8760</v>
      </c>
      <c r="CO185">
        <v>8760</v>
      </c>
      <c r="CP185">
        <v>8760</v>
      </c>
      <c r="CQ185">
        <v>8760</v>
      </c>
      <c r="CR185">
        <v>8760</v>
      </c>
      <c r="CS185">
        <v>8760</v>
      </c>
      <c r="CT185">
        <v>8760</v>
      </c>
      <c r="CU185">
        <v>8760</v>
      </c>
      <c r="CV185">
        <v>8760</v>
      </c>
      <c r="CW185">
        <v>8760</v>
      </c>
      <c r="CX185">
        <v>8760</v>
      </c>
      <c r="CY185">
        <v>8760</v>
      </c>
      <c r="CZ185">
        <v>8760</v>
      </c>
      <c r="DA185">
        <v>8760</v>
      </c>
      <c r="DB185">
        <v>8760</v>
      </c>
    </row>
    <row r="186" spans="1:106" x14ac:dyDescent="0.25">
      <c r="A186" s="13" t="s">
        <v>204</v>
      </c>
      <c r="B186" t="s">
        <v>193</v>
      </c>
      <c r="C186" t="s">
        <v>438</v>
      </c>
      <c r="D186" t="s">
        <v>737</v>
      </c>
      <c r="E186" t="s">
        <v>738</v>
      </c>
      <c r="F186">
        <v>102716</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1</v>
      </c>
      <c r="AD186">
        <v>4</v>
      </c>
      <c r="AE186">
        <v>12</v>
      </c>
      <c r="AF186">
        <v>19</v>
      </c>
      <c r="AG186">
        <v>32</v>
      </c>
      <c r="AH186">
        <v>43</v>
      </c>
      <c r="AI186">
        <v>60</v>
      </c>
      <c r="AJ186">
        <v>91</v>
      </c>
      <c r="AK186">
        <v>117</v>
      </c>
      <c r="AL186">
        <v>149</v>
      </c>
      <c r="AM186">
        <v>187</v>
      </c>
      <c r="AN186">
        <v>214</v>
      </c>
      <c r="AO186">
        <v>266</v>
      </c>
      <c r="AP186">
        <v>334</v>
      </c>
      <c r="AQ186">
        <v>434</v>
      </c>
      <c r="AR186">
        <v>551</v>
      </c>
      <c r="AS186">
        <v>639</v>
      </c>
      <c r="AT186">
        <v>725</v>
      </c>
      <c r="AU186">
        <v>816</v>
      </c>
      <c r="AV186">
        <v>937</v>
      </c>
      <c r="AW186">
        <v>1051</v>
      </c>
      <c r="AX186">
        <v>1190</v>
      </c>
      <c r="AY186">
        <v>1347</v>
      </c>
      <c r="AZ186">
        <v>1611</v>
      </c>
      <c r="BA186">
        <v>1865</v>
      </c>
      <c r="BB186">
        <v>2145</v>
      </c>
      <c r="BC186">
        <v>2451</v>
      </c>
      <c r="BD186">
        <v>2784</v>
      </c>
      <c r="BE186">
        <v>3187</v>
      </c>
      <c r="BF186">
        <v>3541</v>
      </c>
      <c r="BG186">
        <v>3853</v>
      </c>
      <c r="BH186">
        <v>4239</v>
      </c>
      <c r="BI186">
        <v>4555</v>
      </c>
      <c r="BJ186">
        <v>4852</v>
      </c>
      <c r="BK186">
        <v>5127</v>
      </c>
      <c r="BL186">
        <v>5449</v>
      </c>
      <c r="BM186">
        <v>5759</v>
      </c>
      <c r="BN186">
        <v>6088</v>
      </c>
      <c r="BO186">
        <v>6427</v>
      </c>
      <c r="BP186">
        <v>6767</v>
      </c>
      <c r="BQ186">
        <v>7055</v>
      </c>
      <c r="BR186">
        <v>7352</v>
      </c>
      <c r="BS186">
        <v>7610</v>
      </c>
      <c r="BT186">
        <v>7866</v>
      </c>
      <c r="BU186">
        <v>8078</v>
      </c>
      <c r="BV186">
        <v>8229</v>
      </c>
      <c r="BW186">
        <v>8373</v>
      </c>
      <c r="BX186">
        <v>8501</v>
      </c>
      <c r="BY186">
        <v>8561</v>
      </c>
      <c r="BZ186">
        <v>8609</v>
      </c>
      <c r="CA186">
        <v>8663</v>
      </c>
      <c r="CB186">
        <v>8701</v>
      </c>
      <c r="CC186">
        <v>8725</v>
      </c>
      <c r="CD186">
        <v>8749</v>
      </c>
      <c r="CE186">
        <v>8760</v>
      </c>
      <c r="CF186">
        <v>8760</v>
      </c>
      <c r="CG186">
        <v>8760</v>
      </c>
      <c r="CH186">
        <v>8760</v>
      </c>
      <c r="CI186">
        <v>8760</v>
      </c>
      <c r="CJ186">
        <v>8760</v>
      </c>
      <c r="CK186">
        <v>8760</v>
      </c>
      <c r="CL186">
        <v>8760</v>
      </c>
      <c r="CM186">
        <v>8760</v>
      </c>
      <c r="CN186">
        <v>8760</v>
      </c>
      <c r="CO186">
        <v>8760</v>
      </c>
      <c r="CP186">
        <v>8760</v>
      </c>
      <c r="CQ186">
        <v>8760</v>
      </c>
      <c r="CR186">
        <v>8760</v>
      </c>
      <c r="CS186">
        <v>8760</v>
      </c>
      <c r="CT186">
        <v>8760</v>
      </c>
      <c r="CU186">
        <v>8760</v>
      </c>
      <c r="CV186">
        <v>8760</v>
      </c>
      <c r="CW186">
        <v>8760</v>
      </c>
      <c r="CX186">
        <v>8760</v>
      </c>
      <c r="CY186">
        <v>8760</v>
      </c>
      <c r="CZ186">
        <v>8760</v>
      </c>
      <c r="DA186">
        <v>8760</v>
      </c>
      <c r="DB186">
        <v>8760</v>
      </c>
    </row>
    <row r="187" spans="1:106" x14ac:dyDescent="0.25">
      <c r="A187" s="13" t="s">
        <v>205</v>
      </c>
      <c r="B187" t="s">
        <v>195</v>
      </c>
      <c r="C187" t="s">
        <v>438</v>
      </c>
      <c r="D187" t="s">
        <v>739</v>
      </c>
      <c r="E187" t="s">
        <v>740</v>
      </c>
      <c r="F187">
        <v>102407</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3</v>
      </c>
      <c r="AS187">
        <v>13</v>
      </c>
      <c r="AT187">
        <v>23</v>
      </c>
      <c r="AU187">
        <v>57</v>
      </c>
      <c r="AV187">
        <v>87</v>
      </c>
      <c r="AW187">
        <v>138</v>
      </c>
      <c r="AX187">
        <v>231</v>
      </c>
      <c r="AY187">
        <v>361</v>
      </c>
      <c r="AZ187">
        <v>537</v>
      </c>
      <c r="BA187">
        <v>763</v>
      </c>
      <c r="BB187">
        <v>1004</v>
      </c>
      <c r="BC187">
        <v>1251</v>
      </c>
      <c r="BD187">
        <v>1584</v>
      </c>
      <c r="BE187">
        <v>2041</v>
      </c>
      <c r="BF187">
        <v>2513</v>
      </c>
      <c r="BG187">
        <v>2949</v>
      </c>
      <c r="BH187">
        <v>3375</v>
      </c>
      <c r="BI187">
        <v>3843</v>
      </c>
      <c r="BJ187">
        <v>4177</v>
      </c>
      <c r="BK187">
        <v>4574</v>
      </c>
      <c r="BL187">
        <v>4925</v>
      </c>
      <c r="BM187">
        <v>5213</v>
      </c>
      <c r="BN187">
        <v>5549</v>
      </c>
      <c r="BO187">
        <v>5942</v>
      </c>
      <c r="BP187">
        <v>6317</v>
      </c>
      <c r="BQ187">
        <v>6730</v>
      </c>
      <c r="BR187">
        <v>7073</v>
      </c>
      <c r="BS187">
        <v>7390</v>
      </c>
      <c r="BT187">
        <v>7673</v>
      </c>
      <c r="BU187">
        <v>7928</v>
      </c>
      <c r="BV187">
        <v>8127</v>
      </c>
      <c r="BW187">
        <v>8296</v>
      </c>
      <c r="BX187">
        <v>8441</v>
      </c>
      <c r="BY187">
        <v>8536</v>
      </c>
      <c r="BZ187">
        <v>8611</v>
      </c>
      <c r="CA187">
        <v>8667</v>
      </c>
      <c r="CB187">
        <v>8702</v>
      </c>
      <c r="CC187">
        <v>8729</v>
      </c>
      <c r="CD187">
        <v>8744</v>
      </c>
      <c r="CE187">
        <v>8752</v>
      </c>
      <c r="CF187">
        <v>8754</v>
      </c>
      <c r="CG187">
        <v>8758</v>
      </c>
      <c r="CH187">
        <v>8760</v>
      </c>
      <c r="CI187">
        <v>8760</v>
      </c>
      <c r="CJ187">
        <v>8760</v>
      </c>
      <c r="CK187">
        <v>8760</v>
      </c>
      <c r="CL187">
        <v>8760</v>
      </c>
      <c r="CM187">
        <v>8760</v>
      </c>
      <c r="CN187">
        <v>8760</v>
      </c>
      <c r="CO187">
        <v>8760</v>
      </c>
      <c r="CP187">
        <v>8760</v>
      </c>
      <c r="CQ187">
        <v>8760</v>
      </c>
      <c r="CR187">
        <v>8760</v>
      </c>
      <c r="CS187">
        <v>8760</v>
      </c>
      <c r="CT187">
        <v>8760</v>
      </c>
      <c r="CU187">
        <v>8760</v>
      </c>
      <c r="CV187">
        <v>8760</v>
      </c>
      <c r="CW187">
        <v>8760</v>
      </c>
      <c r="CX187">
        <v>8760</v>
      </c>
      <c r="CY187">
        <v>8760</v>
      </c>
      <c r="CZ187">
        <v>8760</v>
      </c>
      <c r="DA187">
        <v>8760</v>
      </c>
      <c r="DB187">
        <v>8760</v>
      </c>
    </row>
    <row r="188" spans="1:106" x14ac:dyDescent="0.25">
      <c r="A188" s="13" t="s">
        <v>206</v>
      </c>
      <c r="B188" t="s">
        <v>402</v>
      </c>
      <c r="C188" t="s">
        <v>438</v>
      </c>
      <c r="D188" t="s">
        <v>741</v>
      </c>
      <c r="E188" t="s">
        <v>742</v>
      </c>
      <c r="F188">
        <v>102342</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5</v>
      </c>
      <c r="AO188">
        <v>14</v>
      </c>
      <c r="AP188">
        <v>27</v>
      </c>
      <c r="AQ188">
        <v>46</v>
      </c>
      <c r="AR188">
        <v>60</v>
      </c>
      <c r="AS188">
        <v>69</v>
      </c>
      <c r="AT188">
        <v>93</v>
      </c>
      <c r="AU188">
        <v>127</v>
      </c>
      <c r="AV188">
        <v>195</v>
      </c>
      <c r="AW188">
        <v>307</v>
      </c>
      <c r="AX188">
        <v>425</v>
      </c>
      <c r="AY188">
        <v>581</v>
      </c>
      <c r="AZ188">
        <v>776</v>
      </c>
      <c r="BA188">
        <v>963</v>
      </c>
      <c r="BB188">
        <v>1205</v>
      </c>
      <c r="BC188">
        <v>1551</v>
      </c>
      <c r="BD188">
        <v>1960</v>
      </c>
      <c r="BE188">
        <v>2397</v>
      </c>
      <c r="BF188">
        <v>2869</v>
      </c>
      <c r="BG188">
        <v>3362</v>
      </c>
      <c r="BH188">
        <v>3798</v>
      </c>
      <c r="BI188">
        <v>4241</v>
      </c>
      <c r="BJ188">
        <v>4616</v>
      </c>
      <c r="BK188">
        <v>4897</v>
      </c>
      <c r="BL188">
        <v>5179</v>
      </c>
      <c r="BM188">
        <v>5498</v>
      </c>
      <c r="BN188">
        <v>5884</v>
      </c>
      <c r="BO188">
        <v>6228</v>
      </c>
      <c r="BP188">
        <v>6587</v>
      </c>
      <c r="BQ188">
        <v>6944</v>
      </c>
      <c r="BR188">
        <v>7277</v>
      </c>
      <c r="BS188">
        <v>7579</v>
      </c>
      <c r="BT188">
        <v>7828</v>
      </c>
      <c r="BU188">
        <v>8066</v>
      </c>
      <c r="BV188">
        <v>8259</v>
      </c>
      <c r="BW188">
        <v>8415</v>
      </c>
      <c r="BX188">
        <v>8507</v>
      </c>
      <c r="BY188">
        <v>8588</v>
      </c>
      <c r="BZ188">
        <v>8638</v>
      </c>
      <c r="CA188">
        <v>8678</v>
      </c>
      <c r="CB188">
        <v>8716</v>
      </c>
      <c r="CC188">
        <v>8740</v>
      </c>
      <c r="CD188">
        <v>8752</v>
      </c>
      <c r="CE188">
        <v>8758</v>
      </c>
      <c r="CF188">
        <v>8760</v>
      </c>
      <c r="CG188">
        <v>8760</v>
      </c>
      <c r="CH188">
        <v>8760</v>
      </c>
      <c r="CI188">
        <v>8760</v>
      </c>
      <c r="CJ188">
        <v>8760</v>
      </c>
      <c r="CK188">
        <v>8760</v>
      </c>
      <c r="CL188">
        <v>8760</v>
      </c>
      <c r="CM188">
        <v>8760</v>
      </c>
      <c r="CN188">
        <v>8760</v>
      </c>
      <c r="CO188">
        <v>8760</v>
      </c>
      <c r="CP188">
        <v>8760</v>
      </c>
      <c r="CQ188">
        <v>8760</v>
      </c>
      <c r="CR188">
        <v>8760</v>
      </c>
      <c r="CS188">
        <v>8760</v>
      </c>
      <c r="CT188">
        <v>8760</v>
      </c>
      <c r="CU188">
        <v>8760</v>
      </c>
      <c r="CV188">
        <v>8760</v>
      </c>
      <c r="CW188">
        <v>8760</v>
      </c>
      <c r="CX188">
        <v>8760</v>
      </c>
      <c r="CY188">
        <v>8760</v>
      </c>
      <c r="CZ188">
        <v>8760</v>
      </c>
      <c r="DA188">
        <v>8760</v>
      </c>
      <c r="DB188">
        <v>8760</v>
      </c>
    </row>
    <row r="189" spans="1:106" x14ac:dyDescent="0.25">
      <c r="A189" s="13" t="s">
        <v>207</v>
      </c>
      <c r="B189" t="s">
        <v>196</v>
      </c>
      <c r="C189" t="s">
        <v>438</v>
      </c>
      <c r="D189" t="s">
        <v>743</v>
      </c>
      <c r="E189" t="s">
        <v>744</v>
      </c>
      <c r="F189">
        <v>102234</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7</v>
      </c>
      <c r="AQ189">
        <v>15</v>
      </c>
      <c r="AR189">
        <v>22</v>
      </c>
      <c r="AS189">
        <v>39</v>
      </c>
      <c r="AT189">
        <v>71</v>
      </c>
      <c r="AU189">
        <v>98</v>
      </c>
      <c r="AV189">
        <v>141</v>
      </c>
      <c r="AW189">
        <v>188</v>
      </c>
      <c r="AX189">
        <v>241</v>
      </c>
      <c r="AY189">
        <v>320</v>
      </c>
      <c r="AZ189">
        <v>436</v>
      </c>
      <c r="BA189">
        <v>599</v>
      </c>
      <c r="BB189">
        <v>817</v>
      </c>
      <c r="BC189">
        <v>1119</v>
      </c>
      <c r="BD189">
        <v>1416</v>
      </c>
      <c r="BE189">
        <v>1737</v>
      </c>
      <c r="BF189">
        <v>2148</v>
      </c>
      <c r="BG189">
        <v>2523</v>
      </c>
      <c r="BH189">
        <v>2878</v>
      </c>
      <c r="BI189">
        <v>3385</v>
      </c>
      <c r="BJ189">
        <v>3864</v>
      </c>
      <c r="BK189">
        <v>4216</v>
      </c>
      <c r="BL189">
        <v>4560</v>
      </c>
      <c r="BM189">
        <v>4977</v>
      </c>
      <c r="BN189">
        <v>5357</v>
      </c>
      <c r="BO189">
        <v>5723</v>
      </c>
      <c r="BP189">
        <v>6103</v>
      </c>
      <c r="BQ189">
        <v>6495</v>
      </c>
      <c r="BR189">
        <v>6859</v>
      </c>
      <c r="BS189">
        <v>7208</v>
      </c>
      <c r="BT189">
        <v>7590</v>
      </c>
      <c r="BU189">
        <v>7938</v>
      </c>
      <c r="BV189">
        <v>8196</v>
      </c>
      <c r="BW189">
        <v>8350</v>
      </c>
      <c r="BX189">
        <v>8466</v>
      </c>
      <c r="BY189">
        <v>8547</v>
      </c>
      <c r="BZ189">
        <v>8641</v>
      </c>
      <c r="CA189">
        <v>8664</v>
      </c>
      <c r="CB189">
        <v>8689</v>
      </c>
      <c r="CC189">
        <v>8709</v>
      </c>
      <c r="CD189">
        <v>8727</v>
      </c>
      <c r="CE189">
        <v>8744</v>
      </c>
      <c r="CF189">
        <v>8753</v>
      </c>
      <c r="CG189">
        <v>8760</v>
      </c>
      <c r="CH189">
        <v>8760</v>
      </c>
      <c r="CI189">
        <v>8760</v>
      </c>
      <c r="CJ189">
        <v>8760</v>
      </c>
      <c r="CK189">
        <v>8760</v>
      </c>
      <c r="CL189">
        <v>8760</v>
      </c>
      <c r="CM189">
        <v>8760</v>
      </c>
      <c r="CN189">
        <v>8760</v>
      </c>
      <c r="CO189">
        <v>8760</v>
      </c>
      <c r="CP189">
        <v>8760</v>
      </c>
      <c r="CQ189">
        <v>8760</v>
      </c>
      <c r="CR189">
        <v>8760</v>
      </c>
      <c r="CS189">
        <v>8760</v>
      </c>
      <c r="CT189">
        <v>8760</v>
      </c>
      <c r="CU189">
        <v>8760</v>
      </c>
      <c r="CV189">
        <v>8760</v>
      </c>
      <c r="CW189">
        <v>8760</v>
      </c>
      <c r="CX189">
        <v>8760</v>
      </c>
      <c r="CY189">
        <v>8760</v>
      </c>
      <c r="CZ189">
        <v>8760</v>
      </c>
      <c r="DA189">
        <v>8760</v>
      </c>
      <c r="DB189">
        <v>8760</v>
      </c>
    </row>
    <row r="190" spans="1:106" x14ac:dyDescent="0.25">
      <c r="A190" s="13" t="s">
        <v>208</v>
      </c>
      <c r="B190" t="s">
        <v>197</v>
      </c>
      <c r="C190" t="s">
        <v>438</v>
      </c>
      <c r="D190" t="s">
        <v>745</v>
      </c>
      <c r="E190" t="s">
        <v>746</v>
      </c>
      <c r="F190">
        <v>102527</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1</v>
      </c>
      <c r="AH190">
        <v>8</v>
      </c>
      <c r="AI190">
        <v>16</v>
      </c>
      <c r="AJ190">
        <v>24</v>
      </c>
      <c r="AK190">
        <v>33</v>
      </c>
      <c r="AL190">
        <v>40</v>
      </c>
      <c r="AM190">
        <v>49</v>
      </c>
      <c r="AN190">
        <v>89</v>
      </c>
      <c r="AO190">
        <v>113</v>
      </c>
      <c r="AP190">
        <v>136</v>
      </c>
      <c r="AQ190">
        <v>157</v>
      </c>
      <c r="AR190">
        <v>180</v>
      </c>
      <c r="AS190">
        <v>218</v>
      </c>
      <c r="AT190">
        <v>283</v>
      </c>
      <c r="AU190">
        <v>349</v>
      </c>
      <c r="AV190">
        <v>440</v>
      </c>
      <c r="AW190">
        <v>561</v>
      </c>
      <c r="AX190">
        <v>685</v>
      </c>
      <c r="AY190">
        <v>862</v>
      </c>
      <c r="AZ190">
        <v>1032</v>
      </c>
      <c r="BA190">
        <v>1280</v>
      </c>
      <c r="BB190">
        <v>1564</v>
      </c>
      <c r="BC190">
        <v>1948</v>
      </c>
      <c r="BD190">
        <v>2338</v>
      </c>
      <c r="BE190">
        <v>2783</v>
      </c>
      <c r="BF190">
        <v>3222</v>
      </c>
      <c r="BG190">
        <v>3560</v>
      </c>
      <c r="BH190">
        <v>3932</v>
      </c>
      <c r="BI190">
        <v>4291</v>
      </c>
      <c r="BJ190">
        <v>4623</v>
      </c>
      <c r="BK190">
        <v>4990</v>
      </c>
      <c r="BL190">
        <v>5320</v>
      </c>
      <c r="BM190">
        <v>5625</v>
      </c>
      <c r="BN190">
        <v>5930</v>
      </c>
      <c r="BO190">
        <v>6205</v>
      </c>
      <c r="BP190">
        <v>6526</v>
      </c>
      <c r="BQ190">
        <v>6832</v>
      </c>
      <c r="BR190">
        <v>7131</v>
      </c>
      <c r="BS190">
        <v>7417</v>
      </c>
      <c r="BT190">
        <v>7676</v>
      </c>
      <c r="BU190">
        <v>7895</v>
      </c>
      <c r="BV190">
        <v>8086</v>
      </c>
      <c r="BW190">
        <v>8247</v>
      </c>
      <c r="BX190">
        <v>8364</v>
      </c>
      <c r="BY190">
        <v>8452</v>
      </c>
      <c r="BZ190">
        <v>8535</v>
      </c>
      <c r="CA190">
        <v>8588</v>
      </c>
      <c r="CB190">
        <v>8631</v>
      </c>
      <c r="CC190">
        <v>8667</v>
      </c>
      <c r="CD190">
        <v>8705</v>
      </c>
      <c r="CE190">
        <v>8736</v>
      </c>
      <c r="CF190">
        <v>8754</v>
      </c>
      <c r="CG190">
        <v>8760</v>
      </c>
      <c r="CH190">
        <v>8760</v>
      </c>
      <c r="CI190">
        <v>8760</v>
      </c>
      <c r="CJ190">
        <v>8760</v>
      </c>
      <c r="CK190">
        <v>8760</v>
      </c>
      <c r="CL190">
        <v>8760</v>
      </c>
      <c r="CM190">
        <v>8760</v>
      </c>
      <c r="CN190">
        <v>8760</v>
      </c>
      <c r="CO190">
        <v>8760</v>
      </c>
      <c r="CP190">
        <v>8760</v>
      </c>
      <c r="CQ190">
        <v>8760</v>
      </c>
      <c r="CR190">
        <v>8760</v>
      </c>
      <c r="CS190">
        <v>8760</v>
      </c>
      <c r="CT190">
        <v>8760</v>
      </c>
      <c r="CU190">
        <v>8760</v>
      </c>
      <c r="CV190">
        <v>8760</v>
      </c>
      <c r="CW190">
        <v>8760</v>
      </c>
      <c r="CX190">
        <v>8760</v>
      </c>
      <c r="CY190">
        <v>8760</v>
      </c>
      <c r="CZ190">
        <v>8760</v>
      </c>
      <c r="DA190">
        <v>8760</v>
      </c>
      <c r="DB190">
        <v>8760</v>
      </c>
    </row>
    <row r="191" spans="1:106" x14ac:dyDescent="0.25">
      <c r="A191" s="13" t="s">
        <v>209</v>
      </c>
      <c r="B191" t="s">
        <v>188</v>
      </c>
      <c r="C191" t="s">
        <v>438</v>
      </c>
      <c r="D191" t="s">
        <v>747</v>
      </c>
      <c r="E191" t="s">
        <v>748</v>
      </c>
      <c r="F191">
        <v>102615</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1</v>
      </c>
      <c r="AF191">
        <v>4</v>
      </c>
      <c r="AG191">
        <v>8</v>
      </c>
      <c r="AH191">
        <v>12</v>
      </c>
      <c r="AI191">
        <v>18</v>
      </c>
      <c r="AJ191">
        <v>27</v>
      </c>
      <c r="AK191">
        <v>29</v>
      </c>
      <c r="AL191">
        <v>33</v>
      </c>
      <c r="AM191">
        <v>46</v>
      </c>
      <c r="AN191">
        <v>59</v>
      </c>
      <c r="AO191">
        <v>67</v>
      </c>
      <c r="AP191">
        <v>74</v>
      </c>
      <c r="AQ191">
        <v>82</v>
      </c>
      <c r="AR191">
        <v>96</v>
      </c>
      <c r="AS191">
        <v>112</v>
      </c>
      <c r="AT191">
        <v>146</v>
      </c>
      <c r="AU191">
        <v>210</v>
      </c>
      <c r="AV191">
        <v>287</v>
      </c>
      <c r="AW191">
        <v>403</v>
      </c>
      <c r="AX191">
        <v>513</v>
      </c>
      <c r="AY191">
        <v>684</v>
      </c>
      <c r="AZ191">
        <v>862</v>
      </c>
      <c r="BA191">
        <v>1171</v>
      </c>
      <c r="BB191">
        <v>1482</v>
      </c>
      <c r="BC191">
        <v>1813</v>
      </c>
      <c r="BD191">
        <v>2182</v>
      </c>
      <c r="BE191">
        <v>2633</v>
      </c>
      <c r="BF191">
        <v>3061</v>
      </c>
      <c r="BG191">
        <v>3471</v>
      </c>
      <c r="BH191">
        <v>3850</v>
      </c>
      <c r="BI191">
        <v>4140</v>
      </c>
      <c r="BJ191">
        <v>4452</v>
      </c>
      <c r="BK191">
        <v>4717</v>
      </c>
      <c r="BL191">
        <v>4998</v>
      </c>
      <c r="BM191">
        <v>5256</v>
      </c>
      <c r="BN191">
        <v>5550</v>
      </c>
      <c r="BO191">
        <v>5888</v>
      </c>
      <c r="BP191">
        <v>6278</v>
      </c>
      <c r="BQ191">
        <v>6593</v>
      </c>
      <c r="BR191">
        <v>6958</v>
      </c>
      <c r="BS191">
        <v>7237</v>
      </c>
      <c r="BT191">
        <v>7519</v>
      </c>
      <c r="BU191">
        <v>7749</v>
      </c>
      <c r="BV191">
        <v>8000</v>
      </c>
      <c r="BW191">
        <v>8191</v>
      </c>
      <c r="BX191">
        <v>8360</v>
      </c>
      <c r="BY191">
        <v>8490</v>
      </c>
      <c r="BZ191">
        <v>8579</v>
      </c>
      <c r="CA191">
        <v>8643</v>
      </c>
      <c r="CB191">
        <v>8684</v>
      </c>
      <c r="CC191">
        <v>8714</v>
      </c>
      <c r="CD191">
        <v>8740</v>
      </c>
      <c r="CE191">
        <v>8752</v>
      </c>
      <c r="CF191">
        <v>8756</v>
      </c>
      <c r="CG191">
        <v>8760</v>
      </c>
      <c r="CH191">
        <v>8760</v>
      </c>
      <c r="CI191">
        <v>8760</v>
      </c>
      <c r="CJ191">
        <v>8760</v>
      </c>
      <c r="CK191">
        <v>8760</v>
      </c>
      <c r="CL191">
        <v>8760</v>
      </c>
      <c r="CM191">
        <v>8760</v>
      </c>
      <c r="CN191">
        <v>8760</v>
      </c>
      <c r="CO191">
        <v>8760</v>
      </c>
      <c r="CP191">
        <v>8760</v>
      </c>
      <c r="CQ191">
        <v>8760</v>
      </c>
      <c r="CR191">
        <v>8760</v>
      </c>
      <c r="CS191">
        <v>8760</v>
      </c>
      <c r="CT191">
        <v>8760</v>
      </c>
      <c r="CU191">
        <v>8760</v>
      </c>
      <c r="CV191">
        <v>8760</v>
      </c>
      <c r="CW191">
        <v>8760</v>
      </c>
      <c r="CX191">
        <v>8760</v>
      </c>
      <c r="CY191">
        <v>8760</v>
      </c>
      <c r="CZ191">
        <v>8760</v>
      </c>
      <c r="DA191">
        <v>8760</v>
      </c>
      <c r="DB191">
        <v>8760</v>
      </c>
    </row>
    <row r="192" spans="1:106" x14ac:dyDescent="0.25">
      <c r="A192" s="13" t="s">
        <v>210</v>
      </c>
      <c r="B192" t="s">
        <v>191</v>
      </c>
      <c r="C192" t="s">
        <v>438</v>
      </c>
      <c r="D192" t="s">
        <v>749</v>
      </c>
      <c r="E192" t="s">
        <v>750</v>
      </c>
      <c r="F192">
        <v>102242</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7</v>
      </c>
      <c r="AP192">
        <v>7</v>
      </c>
      <c r="AQ192">
        <v>15</v>
      </c>
      <c r="AR192">
        <v>20</v>
      </c>
      <c r="AS192">
        <v>25</v>
      </c>
      <c r="AT192">
        <v>34</v>
      </c>
      <c r="AU192">
        <v>64</v>
      </c>
      <c r="AV192">
        <v>96</v>
      </c>
      <c r="AW192">
        <v>137</v>
      </c>
      <c r="AX192">
        <v>173</v>
      </c>
      <c r="AY192">
        <v>219</v>
      </c>
      <c r="AZ192">
        <v>270</v>
      </c>
      <c r="BA192">
        <v>380</v>
      </c>
      <c r="BB192">
        <v>565</v>
      </c>
      <c r="BC192">
        <v>818</v>
      </c>
      <c r="BD192">
        <v>1099</v>
      </c>
      <c r="BE192">
        <v>1526</v>
      </c>
      <c r="BF192">
        <v>2040</v>
      </c>
      <c r="BG192">
        <v>2527</v>
      </c>
      <c r="BH192">
        <v>2988</v>
      </c>
      <c r="BI192">
        <v>3409</v>
      </c>
      <c r="BJ192">
        <v>3755</v>
      </c>
      <c r="BK192">
        <v>4074</v>
      </c>
      <c r="BL192">
        <v>4405</v>
      </c>
      <c r="BM192">
        <v>4721</v>
      </c>
      <c r="BN192">
        <v>5036</v>
      </c>
      <c r="BO192">
        <v>5383</v>
      </c>
      <c r="BP192">
        <v>5762</v>
      </c>
      <c r="BQ192">
        <v>6179</v>
      </c>
      <c r="BR192">
        <v>6611</v>
      </c>
      <c r="BS192">
        <v>7067</v>
      </c>
      <c r="BT192">
        <v>7441</v>
      </c>
      <c r="BU192">
        <v>7724</v>
      </c>
      <c r="BV192">
        <v>7954</v>
      </c>
      <c r="BW192">
        <v>8138</v>
      </c>
      <c r="BX192">
        <v>8271</v>
      </c>
      <c r="BY192">
        <v>8382</v>
      </c>
      <c r="BZ192">
        <v>8492</v>
      </c>
      <c r="CA192">
        <v>8569</v>
      </c>
      <c r="CB192">
        <v>8650</v>
      </c>
      <c r="CC192">
        <v>8691</v>
      </c>
      <c r="CD192">
        <v>8717</v>
      </c>
      <c r="CE192">
        <v>8734</v>
      </c>
      <c r="CF192">
        <v>8748</v>
      </c>
      <c r="CG192">
        <v>8754</v>
      </c>
      <c r="CH192">
        <v>8758</v>
      </c>
      <c r="CI192">
        <v>8760</v>
      </c>
      <c r="CJ192">
        <v>8760</v>
      </c>
      <c r="CK192">
        <v>8760</v>
      </c>
      <c r="CL192">
        <v>8760</v>
      </c>
      <c r="CM192">
        <v>8760</v>
      </c>
      <c r="CN192">
        <v>8760</v>
      </c>
      <c r="CO192">
        <v>8760</v>
      </c>
      <c r="CP192">
        <v>8760</v>
      </c>
      <c r="CQ192">
        <v>8760</v>
      </c>
      <c r="CR192">
        <v>8760</v>
      </c>
      <c r="CS192">
        <v>8760</v>
      </c>
      <c r="CT192">
        <v>8760</v>
      </c>
      <c r="CU192">
        <v>8760</v>
      </c>
      <c r="CV192">
        <v>8760</v>
      </c>
      <c r="CW192">
        <v>8760</v>
      </c>
      <c r="CX192">
        <v>8760</v>
      </c>
      <c r="CY192">
        <v>8760</v>
      </c>
      <c r="CZ192">
        <v>8760</v>
      </c>
      <c r="DA192">
        <v>8760</v>
      </c>
      <c r="DB192">
        <v>8760</v>
      </c>
    </row>
    <row r="193" spans="1:106" x14ac:dyDescent="0.25">
      <c r="A193" s="13" t="s">
        <v>211</v>
      </c>
      <c r="B193" t="s">
        <v>192</v>
      </c>
      <c r="C193" t="s">
        <v>438</v>
      </c>
      <c r="D193" t="s">
        <v>751</v>
      </c>
      <c r="E193" t="s">
        <v>752</v>
      </c>
      <c r="F193">
        <v>102333</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8</v>
      </c>
      <c r="AO193">
        <v>11</v>
      </c>
      <c r="AP193">
        <v>14</v>
      </c>
      <c r="AQ193">
        <v>23</v>
      </c>
      <c r="AR193">
        <v>32</v>
      </c>
      <c r="AS193">
        <v>70</v>
      </c>
      <c r="AT193">
        <v>105</v>
      </c>
      <c r="AU193">
        <v>149</v>
      </c>
      <c r="AV193">
        <v>204</v>
      </c>
      <c r="AW193">
        <v>248</v>
      </c>
      <c r="AX193">
        <v>306</v>
      </c>
      <c r="AY193">
        <v>414</v>
      </c>
      <c r="AZ193">
        <v>547</v>
      </c>
      <c r="BA193">
        <v>696</v>
      </c>
      <c r="BB193">
        <v>880</v>
      </c>
      <c r="BC193">
        <v>1134</v>
      </c>
      <c r="BD193">
        <v>1434</v>
      </c>
      <c r="BE193">
        <v>1785</v>
      </c>
      <c r="BF193">
        <v>2174</v>
      </c>
      <c r="BG193">
        <v>2577</v>
      </c>
      <c r="BH193">
        <v>3035</v>
      </c>
      <c r="BI193">
        <v>3453</v>
      </c>
      <c r="BJ193">
        <v>3922</v>
      </c>
      <c r="BK193">
        <v>4272</v>
      </c>
      <c r="BL193">
        <v>4641</v>
      </c>
      <c r="BM193">
        <v>5036</v>
      </c>
      <c r="BN193">
        <v>5386</v>
      </c>
      <c r="BO193">
        <v>5728</v>
      </c>
      <c r="BP193">
        <v>6065</v>
      </c>
      <c r="BQ193">
        <v>6360</v>
      </c>
      <c r="BR193">
        <v>6742</v>
      </c>
      <c r="BS193">
        <v>7096</v>
      </c>
      <c r="BT193">
        <v>7358</v>
      </c>
      <c r="BU193">
        <v>7610</v>
      </c>
      <c r="BV193">
        <v>7822</v>
      </c>
      <c r="BW193">
        <v>8004</v>
      </c>
      <c r="BX193">
        <v>8153</v>
      </c>
      <c r="BY193">
        <v>8286</v>
      </c>
      <c r="BZ193">
        <v>8398</v>
      </c>
      <c r="CA193">
        <v>8491</v>
      </c>
      <c r="CB193">
        <v>8581</v>
      </c>
      <c r="CC193">
        <v>8640</v>
      </c>
      <c r="CD193">
        <v>8691</v>
      </c>
      <c r="CE193">
        <v>8728</v>
      </c>
      <c r="CF193">
        <v>8753</v>
      </c>
      <c r="CG193">
        <v>8757</v>
      </c>
      <c r="CH193">
        <v>8760</v>
      </c>
      <c r="CI193">
        <v>8760</v>
      </c>
      <c r="CJ193">
        <v>8760</v>
      </c>
      <c r="CK193">
        <v>8760</v>
      </c>
      <c r="CL193">
        <v>8760</v>
      </c>
      <c r="CM193">
        <v>8760</v>
      </c>
      <c r="CN193">
        <v>8760</v>
      </c>
      <c r="CO193">
        <v>8760</v>
      </c>
      <c r="CP193">
        <v>8760</v>
      </c>
      <c r="CQ193">
        <v>8760</v>
      </c>
      <c r="CR193">
        <v>8760</v>
      </c>
      <c r="CS193">
        <v>8760</v>
      </c>
      <c r="CT193">
        <v>8760</v>
      </c>
      <c r="CU193">
        <v>8760</v>
      </c>
      <c r="CV193">
        <v>8760</v>
      </c>
      <c r="CW193">
        <v>8760</v>
      </c>
      <c r="CX193">
        <v>8760</v>
      </c>
      <c r="CY193">
        <v>8760</v>
      </c>
      <c r="CZ193">
        <v>8760</v>
      </c>
      <c r="DA193">
        <v>8760</v>
      </c>
      <c r="DB193">
        <v>8760</v>
      </c>
    </row>
    <row r="194" spans="1:106" x14ac:dyDescent="0.25">
      <c r="A194" s="13" t="s">
        <v>212</v>
      </c>
      <c r="B194" t="s">
        <v>194</v>
      </c>
      <c r="C194" t="s">
        <v>438</v>
      </c>
      <c r="D194" t="s">
        <v>753</v>
      </c>
      <c r="E194" t="s">
        <v>754</v>
      </c>
      <c r="F194">
        <v>102339</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4</v>
      </c>
      <c r="AT194">
        <v>27</v>
      </c>
      <c r="AU194">
        <v>69</v>
      </c>
      <c r="AV194">
        <v>100</v>
      </c>
      <c r="AW194">
        <v>145</v>
      </c>
      <c r="AX194">
        <v>199</v>
      </c>
      <c r="AY194">
        <v>285</v>
      </c>
      <c r="AZ194">
        <v>392</v>
      </c>
      <c r="BA194">
        <v>506</v>
      </c>
      <c r="BB194">
        <v>685</v>
      </c>
      <c r="BC194">
        <v>971</v>
      </c>
      <c r="BD194">
        <v>1299</v>
      </c>
      <c r="BE194">
        <v>1687</v>
      </c>
      <c r="BF194">
        <v>2130</v>
      </c>
      <c r="BG194">
        <v>2573</v>
      </c>
      <c r="BH194">
        <v>3031</v>
      </c>
      <c r="BI194">
        <v>3465</v>
      </c>
      <c r="BJ194">
        <v>3904</v>
      </c>
      <c r="BK194">
        <v>4273</v>
      </c>
      <c r="BL194">
        <v>4656</v>
      </c>
      <c r="BM194">
        <v>4986</v>
      </c>
      <c r="BN194">
        <v>5320</v>
      </c>
      <c r="BO194">
        <v>5658</v>
      </c>
      <c r="BP194">
        <v>5979</v>
      </c>
      <c r="BQ194">
        <v>6379</v>
      </c>
      <c r="BR194">
        <v>6748</v>
      </c>
      <c r="BS194">
        <v>7112</v>
      </c>
      <c r="BT194">
        <v>7438</v>
      </c>
      <c r="BU194">
        <v>7767</v>
      </c>
      <c r="BV194">
        <v>8020</v>
      </c>
      <c r="BW194">
        <v>8224</v>
      </c>
      <c r="BX194">
        <v>8362</v>
      </c>
      <c r="BY194">
        <v>8472</v>
      </c>
      <c r="BZ194">
        <v>8551</v>
      </c>
      <c r="CA194">
        <v>8623</v>
      </c>
      <c r="CB194">
        <v>8681</v>
      </c>
      <c r="CC194">
        <v>8721</v>
      </c>
      <c r="CD194">
        <v>8742</v>
      </c>
      <c r="CE194">
        <v>8754</v>
      </c>
      <c r="CF194">
        <v>8757</v>
      </c>
      <c r="CG194">
        <v>8760</v>
      </c>
      <c r="CH194">
        <v>8760</v>
      </c>
      <c r="CI194">
        <v>8760</v>
      </c>
      <c r="CJ194">
        <v>8760</v>
      </c>
      <c r="CK194">
        <v>8760</v>
      </c>
      <c r="CL194">
        <v>8760</v>
      </c>
      <c r="CM194">
        <v>8760</v>
      </c>
      <c r="CN194">
        <v>8760</v>
      </c>
      <c r="CO194">
        <v>8760</v>
      </c>
      <c r="CP194">
        <v>8760</v>
      </c>
      <c r="CQ194">
        <v>8760</v>
      </c>
      <c r="CR194">
        <v>8760</v>
      </c>
      <c r="CS194">
        <v>8760</v>
      </c>
      <c r="CT194">
        <v>8760</v>
      </c>
      <c r="CU194">
        <v>8760</v>
      </c>
      <c r="CV194">
        <v>8760</v>
      </c>
      <c r="CW194">
        <v>8760</v>
      </c>
      <c r="CX194">
        <v>8760</v>
      </c>
      <c r="CY194">
        <v>8760</v>
      </c>
      <c r="CZ194">
        <v>8760</v>
      </c>
      <c r="DA194">
        <v>8760</v>
      </c>
      <c r="DB194">
        <v>8760</v>
      </c>
    </row>
    <row r="195" spans="1:106" x14ac:dyDescent="0.25">
      <c r="A195" s="13" t="s">
        <v>213</v>
      </c>
      <c r="B195" t="s">
        <v>403</v>
      </c>
    </row>
    <row r="196" spans="1:106" x14ac:dyDescent="0.25">
      <c r="A196" s="13" t="s">
        <v>214</v>
      </c>
      <c r="B196" t="s">
        <v>198</v>
      </c>
      <c r="C196" t="s">
        <v>438</v>
      </c>
      <c r="D196" t="s">
        <v>755</v>
      </c>
      <c r="E196" t="s">
        <v>756</v>
      </c>
      <c r="F196">
        <v>102648</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6</v>
      </c>
      <c r="AP196">
        <v>12</v>
      </c>
      <c r="AQ196">
        <v>16</v>
      </c>
      <c r="AR196">
        <v>32</v>
      </c>
      <c r="AS196">
        <v>52</v>
      </c>
      <c r="AT196">
        <v>80</v>
      </c>
      <c r="AU196">
        <v>102</v>
      </c>
      <c r="AV196">
        <v>141</v>
      </c>
      <c r="AW196">
        <v>191</v>
      </c>
      <c r="AX196">
        <v>288</v>
      </c>
      <c r="AY196">
        <v>424</v>
      </c>
      <c r="AZ196">
        <v>606</v>
      </c>
      <c r="BA196">
        <v>783</v>
      </c>
      <c r="BB196">
        <v>1050</v>
      </c>
      <c r="BC196">
        <v>1379</v>
      </c>
      <c r="BD196">
        <v>1738</v>
      </c>
      <c r="BE196">
        <v>2207</v>
      </c>
      <c r="BF196">
        <v>2672</v>
      </c>
      <c r="BG196">
        <v>3188</v>
      </c>
      <c r="BH196">
        <v>3603</v>
      </c>
      <c r="BI196">
        <v>3995</v>
      </c>
      <c r="BJ196">
        <v>4311</v>
      </c>
      <c r="BK196">
        <v>4617</v>
      </c>
      <c r="BL196">
        <v>4892</v>
      </c>
      <c r="BM196">
        <v>5208</v>
      </c>
      <c r="BN196">
        <v>5545</v>
      </c>
      <c r="BO196">
        <v>5864</v>
      </c>
      <c r="BP196">
        <v>6218</v>
      </c>
      <c r="BQ196">
        <v>6551</v>
      </c>
      <c r="BR196">
        <v>6925</v>
      </c>
      <c r="BS196">
        <v>7270</v>
      </c>
      <c r="BT196">
        <v>7559</v>
      </c>
      <c r="BU196">
        <v>7836</v>
      </c>
      <c r="BV196">
        <v>8067</v>
      </c>
      <c r="BW196">
        <v>8244</v>
      </c>
      <c r="BX196">
        <v>8384</v>
      </c>
      <c r="BY196">
        <v>8516</v>
      </c>
      <c r="BZ196">
        <v>8601</v>
      </c>
      <c r="CA196">
        <v>8668</v>
      </c>
      <c r="CB196">
        <v>8712</v>
      </c>
      <c r="CC196">
        <v>8739</v>
      </c>
      <c r="CD196">
        <v>8748</v>
      </c>
      <c r="CE196">
        <v>8755</v>
      </c>
      <c r="CF196">
        <v>8760</v>
      </c>
      <c r="CG196">
        <v>8760</v>
      </c>
      <c r="CH196">
        <v>8760</v>
      </c>
      <c r="CI196">
        <v>8760</v>
      </c>
      <c r="CJ196">
        <v>8760</v>
      </c>
      <c r="CK196">
        <v>8760</v>
      </c>
      <c r="CL196">
        <v>8760</v>
      </c>
      <c r="CM196">
        <v>8760</v>
      </c>
      <c r="CN196">
        <v>8760</v>
      </c>
      <c r="CO196">
        <v>8760</v>
      </c>
      <c r="CP196">
        <v>8760</v>
      </c>
      <c r="CQ196">
        <v>8760</v>
      </c>
      <c r="CR196">
        <v>8760</v>
      </c>
      <c r="CS196">
        <v>8760</v>
      </c>
      <c r="CT196">
        <v>8760</v>
      </c>
      <c r="CU196">
        <v>8760</v>
      </c>
      <c r="CV196">
        <v>8760</v>
      </c>
      <c r="CW196">
        <v>8760</v>
      </c>
      <c r="CX196">
        <v>8760</v>
      </c>
      <c r="CY196">
        <v>8760</v>
      </c>
      <c r="CZ196">
        <v>8760</v>
      </c>
      <c r="DA196">
        <v>8760</v>
      </c>
      <c r="DB196">
        <v>8760</v>
      </c>
    </row>
    <row r="197" spans="1:106" x14ac:dyDescent="0.25">
      <c r="A197" s="13" t="s">
        <v>215</v>
      </c>
      <c r="B197" t="s">
        <v>200</v>
      </c>
      <c r="C197" t="s">
        <v>438</v>
      </c>
      <c r="D197" t="s">
        <v>757</v>
      </c>
      <c r="E197" t="s">
        <v>758</v>
      </c>
      <c r="F197">
        <v>102533</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4</v>
      </c>
      <c r="AK197">
        <v>10</v>
      </c>
      <c r="AL197">
        <v>21</v>
      </c>
      <c r="AM197">
        <v>35</v>
      </c>
      <c r="AN197">
        <v>53</v>
      </c>
      <c r="AO197">
        <v>82</v>
      </c>
      <c r="AP197">
        <v>118</v>
      </c>
      <c r="AQ197">
        <v>147</v>
      </c>
      <c r="AR197">
        <v>171</v>
      </c>
      <c r="AS197">
        <v>210</v>
      </c>
      <c r="AT197">
        <v>283</v>
      </c>
      <c r="AU197">
        <v>346</v>
      </c>
      <c r="AV197">
        <v>437</v>
      </c>
      <c r="AW197">
        <v>557</v>
      </c>
      <c r="AX197">
        <v>689</v>
      </c>
      <c r="AY197">
        <v>851</v>
      </c>
      <c r="AZ197">
        <v>1078</v>
      </c>
      <c r="BA197">
        <v>1348</v>
      </c>
      <c r="BB197">
        <v>1636</v>
      </c>
      <c r="BC197">
        <v>1897</v>
      </c>
      <c r="BD197">
        <v>2288</v>
      </c>
      <c r="BE197">
        <v>2740</v>
      </c>
      <c r="BF197">
        <v>3122</v>
      </c>
      <c r="BG197">
        <v>3548</v>
      </c>
      <c r="BH197">
        <v>3912</v>
      </c>
      <c r="BI197">
        <v>4236</v>
      </c>
      <c r="BJ197">
        <v>4523</v>
      </c>
      <c r="BK197">
        <v>4812</v>
      </c>
      <c r="BL197">
        <v>5084</v>
      </c>
      <c r="BM197">
        <v>5364</v>
      </c>
      <c r="BN197">
        <v>5653</v>
      </c>
      <c r="BO197">
        <v>5987</v>
      </c>
      <c r="BP197">
        <v>6327</v>
      </c>
      <c r="BQ197">
        <v>6667</v>
      </c>
      <c r="BR197">
        <v>6976</v>
      </c>
      <c r="BS197">
        <v>7296</v>
      </c>
      <c r="BT197">
        <v>7541</v>
      </c>
      <c r="BU197">
        <v>7776</v>
      </c>
      <c r="BV197">
        <v>8002</v>
      </c>
      <c r="BW197">
        <v>8180</v>
      </c>
      <c r="BX197">
        <v>8312</v>
      </c>
      <c r="BY197">
        <v>8412</v>
      </c>
      <c r="BZ197">
        <v>8493</v>
      </c>
      <c r="CA197">
        <v>8568</v>
      </c>
      <c r="CB197">
        <v>8637</v>
      </c>
      <c r="CC197">
        <v>8685</v>
      </c>
      <c r="CD197">
        <v>8725</v>
      </c>
      <c r="CE197">
        <v>8749</v>
      </c>
      <c r="CF197">
        <v>8756</v>
      </c>
      <c r="CG197">
        <v>8760</v>
      </c>
      <c r="CH197">
        <v>8760</v>
      </c>
      <c r="CI197">
        <v>8760</v>
      </c>
      <c r="CJ197">
        <v>8760</v>
      </c>
      <c r="CK197">
        <v>8760</v>
      </c>
      <c r="CL197">
        <v>8760</v>
      </c>
      <c r="CM197">
        <v>8760</v>
      </c>
      <c r="CN197">
        <v>8760</v>
      </c>
      <c r="CO197">
        <v>8760</v>
      </c>
      <c r="CP197">
        <v>8760</v>
      </c>
      <c r="CQ197">
        <v>8760</v>
      </c>
      <c r="CR197">
        <v>8760</v>
      </c>
      <c r="CS197">
        <v>8760</v>
      </c>
      <c r="CT197">
        <v>8760</v>
      </c>
      <c r="CU197">
        <v>8760</v>
      </c>
      <c r="CV197">
        <v>8760</v>
      </c>
      <c r="CW197">
        <v>8760</v>
      </c>
      <c r="CX197">
        <v>8760</v>
      </c>
      <c r="CY197">
        <v>8760</v>
      </c>
      <c r="CZ197">
        <v>8760</v>
      </c>
      <c r="DA197">
        <v>8760</v>
      </c>
      <c r="DB197">
        <v>8760</v>
      </c>
    </row>
    <row r="198" spans="1:106" x14ac:dyDescent="0.25">
      <c r="A198" s="13" t="s">
        <v>216</v>
      </c>
      <c r="B198" t="s">
        <v>201</v>
      </c>
      <c r="C198" t="s">
        <v>438</v>
      </c>
      <c r="D198" t="s">
        <v>759</v>
      </c>
      <c r="E198" t="s">
        <v>760</v>
      </c>
      <c r="F198">
        <v>102632</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2</v>
      </c>
      <c r="AK198">
        <v>7</v>
      </c>
      <c r="AL198">
        <v>14</v>
      </c>
      <c r="AM198">
        <v>28</v>
      </c>
      <c r="AN198">
        <v>53</v>
      </c>
      <c r="AO198">
        <v>80</v>
      </c>
      <c r="AP198">
        <v>115</v>
      </c>
      <c r="AQ198">
        <v>143</v>
      </c>
      <c r="AR198">
        <v>173</v>
      </c>
      <c r="AS198">
        <v>229</v>
      </c>
      <c r="AT198">
        <v>305</v>
      </c>
      <c r="AU198">
        <v>415</v>
      </c>
      <c r="AV198">
        <v>549</v>
      </c>
      <c r="AW198">
        <v>652</v>
      </c>
      <c r="AX198">
        <v>776</v>
      </c>
      <c r="AY198">
        <v>939</v>
      </c>
      <c r="AZ198">
        <v>1106</v>
      </c>
      <c r="BA198">
        <v>1328</v>
      </c>
      <c r="BB198">
        <v>1653</v>
      </c>
      <c r="BC198">
        <v>2076</v>
      </c>
      <c r="BD198">
        <v>2623</v>
      </c>
      <c r="BE198">
        <v>3138</v>
      </c>
      <c r="BF198">
        <v>3575</v>
      </c>
      <c r="BG198">
        <v>3911</v>
      </c>
      <c r="BH198">
        <v>4289</v>
      </c>
      <c r="BI198">
        <v>4568</v>
      </c>
      <c r="BJ198">
        <v>4810</v>
      </c>
      <c r="BK198">
        <v>5062</v>
      </c>
      <c r="BL198">
        <v>5316</v>
      </c>
      <c r="BM198">
        <v>5613</v>
      </c>
      <c r="BN198">
        <v>5977</v>
      </c>
      <c r="BO198">
        <v>6347</v>
      </c>
      <c r="BP198">
        <v>6692</v>
      </c>
      <c r="BQ198">
        <v>7005</v>
      </c>
      <c r="BR198">
        <v>7323</v>
      </c>
      <c r="BS198">
        <v>7582</v>
      </c>
      <c r="BT198">
        <v>7811</v>
      </c>
      <c r="BU198">
        <v>7994</v>
      </c>
      <c r="BV198">
        <v>8194</v>
      </c>
      <c r="BW198">
        <v>8335</v>
      </c>
      <c r="BX198">
        <v>8472</v>
      </c>
      <c r="BY198">
        <v>8564</v>
      </c>
      <c r="BZ198">
        <v>8615</v>
      </c>
      <c r="CA198">
        <v>8655</v>
      </c>
      <c r="CB198">
        <v>8686</v>
      </c>
      <c r="CC198">
        <v>8700</v>
      </c>
      <c r="CD198">
        <v>8726</v>
      </c>
      <c r="CE198">
        <v>8739</v>
      </c>
      <c r="CF198">
        <v>8753</v>
      </c>
      <c r="CG198">
        <v>8760</v>
      </c>
      <c r="CH198">
        <v>8760</v>
      </c>
      <c r="CI198">
        <v>8760</v>
      </c>
      <c r="CJ198">
        <v>8760</v>
      </c>
      <c r="CK198">
        <v>8760</v>
      </c>
      <c r="CL198">
        <v>8760</v>
      </c>
      <c r="CM198">
        <v>8760</v>
      </c>
      <c r="CN198">
        <v>8760</v>
      </c>
      <c r="CO198">
        <v>8760</v>
      </c>
      <c r="CP198">
        <v>8760</v>
      </c>
      <c r="CQ198">
        <v>8760</v>
      </c>
      <c r="CR198">
        <v>8760</v>
      </c>
      <c r="CS198">
        <v>8760</v>
      </c>
      <c r="CT198">
        <v>8760</v>
      </c>
      <c r="CU198">
        <v>8760</v>
      </c>
      <c r="CV198">
        <v>8760</v>
      </c>
      <c r="CW198">
        <v>8760</v>
      </c>
      <c r="CX198">
        <v>8760</v>
      </c>
      <c r="CY198">
        <v>8760</v>
      </c>
      <c r="CZ198">
        <v>8760</v>
      </c>
      <c r="DA198">
        <v>8760</v>
      </c>
      <c r="DB198">
        <v>8760</v>
      </c>
    </row>
    <row r="199" spans="1:106" x14ac:dyDescent="0.25">
      <c r="A199" s="13" t="s">
        <v>217</v>
      </c>
      <c r="B199" t="s">
        <v>202</v>
      </c>
      <c r="C199" t="s">
        <v>438</v>
      </c>
      <c r="D199" t="s">
        <v>761</v>
      </c>
      <c r="E199" t="s">
        <v>762</v>
      </c>
      <c r="F199">
        <v>102728</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1</v>
      </c>
      <c r="AF199">
        <v>3</v>
      </c>
      <c r="AG199">
        <v>5</v>
      </c>
      <c r="AH199">
        <v>11</v>
      </c>
      <c r="AI199">
        <v>17</v>
      </c>
      <c r="AJ199">
        <v>24</v>
      </c>
      <c r="AK199">
        <v>28</v>
      </c>
      <c r="AL199">
        <v>40</v>
      </c>
      <c r="AM199">
        <v>56</v>
      </c>
      <c r="AN199">
        <v>90</v>
      </c>
      <c r="AO199">
        <v>133</v>
      </c>
      <c r="AP199">
        <v>159</v>
      </c>
      <c r="AQ199">
        <v>203</v>
      </c>
      <c r="AR199">
        <v>271</v>
      </c>
      <c r="AS199">
        <v>346</v>
      </c>
      <c r="AT199">
        <v>448</v>
      </c>
      <c r="AU199">
        <v>566</v>
      </c>
      <c r="AV199">
        <v>676</v>
      </c>
      <c r="AW199">
        <v>865</v>
      </c>
      <c r="AX199">
        <v>1091</v>
      </c>
      <c r="AY199">
        <v>1324</v>
      </c>
      <c r="AZ199">
        <v>1562</v>
      </c>
      <c r="BA199">
        <v>1810</v>
      </c>
      <c r="BB199">
        <v>2151</v>
      </c>
      <c r="BC199">
        <v>2507</v>
      </c>
      <c r="BD199">
        <v>2915</v>
      </c>
      <c r="BE199">
        <v>3360</v>
      </c>
      <c r="BF199">
        <v>3749</v>
      </c>
      <c r="BG199">
        <v>4086</v>
      </c>
      <c r="BH199">
        <v>4381</v>
      </c>
      <c r="BI199">
        <v>4652</v>
      </c>
      <c r="BJ199">
        <v>4943</v>
      </c>
      <c r="BK199">
        <v>5222</v>
      </c>
      <c r="BL199">
        <v>5510</v>
      </c>
      <c r="BM199">
        <v>5809</v>
      </c>
      <c r="BN199">
        <v>6114</v>
      </c>
      <c r="BO199">
        <v>6401</v>
      </c>
      <c r="BP199">
        <v>6736</v>
      </c>
      <c r="BQ199">
        <v>7050</v>
      </c>
      <c r="BR199">
        <v>7331</v>
      </c>
      <c r="BS199">
        <v>7570</v>
      </c>
      <c r="BT199">
        <v>7811</v>
      </c>
      <c r="BU199">
        <v>8013</v>
      </c>
      <c r="BV199">
        <v>8197</v>
      </c>
      <c r="BW199">
        <v>8350</v>
      </c>
      <c r="BX199">
        <v>8487</v>
      </c>
      <c r="BY199">
        <v>8587</v>
      </c>
      <c r="BZ199">
        <v>8666</v>
      </c>
      <c r="CA199">
        <v>8710</v>
      </c>
      <c r="CB199">
        <v>8733</v>
      </c>
      <c r="CC199">
        <v>8753</v>
      </c>
      <c r="CD199">
        <v>8760</v>
      </c>
      <c r="CE199">
        <v>8760</v>
      </c>
      <c r="CF199">
        <v>8760</v>
      </c>
      <c r="CG199">
        <v>8760</v>
      </c>
      <c r="CH199">
        <v>8760</v>
      </c>
      <c r="CI199">
        <v>8760</v>
      </c>
      <c r="CJ199">
        <v>8760</v>
      </c>
      <c r="CK199">
        <v>8760</v>
      </c>
      <c r="CL199">
        <v>8760</v>
      </c>
      <c r="CM199">
        <v>8760</v>
      </c>
      <c r="CN199">
        <v>8760</v>
      </c>
      <c r="CO199">
        <v>8760</v>
      </c>
      <c r="CP199">
        <v>8760</v>
      </c>
      <c r="CQ199">
        <v>8760</v>
      </c>
      <c r="CR199">
        <v>8760</v>
      </c>
      <c r="CS199">
        <v>8760</v>
      </c>
      <c r="CT199">
        <v>8760</v>
      </c>
      <c r="CU199">
        <v>8760</v>
      </c>
      <c r="CV199">
        <v>8760</v>
      </c>
      <c r="CW199">
        <v>8760</v>
      </c>
      <c r="CX199">
        <v>8760</v>
      </c>
      <c r="CY199">
        <v>8760</v>
      </c>
      <c r="CZ199">
        <v>8760</v>
      </c>
      <c r="DA199">
        <v>8760</v>
      </c>
      <c r="DB199">
        <v>8760</v>
      </c>
    </row>
    <row r="200" spans="1:106" x14ac:dyDescent="0.25">
      <c r="A200" s="13" t="s">
        <v>218</v>
      </c>
      <c r="B200" t="s">
        <v>203</v>
      </c>
      <c r="C200" t="s">
        <v>438</v>
      </c>
      <c r="D200" t="s">
        <v>763</v>
      </c>
      <c r="E200" t="s">
        <v>764</v>
      </c>
      <c r="F200">
        <v>102916</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1</v>
      </c>
      <c r="AI200">
        <v>4</v>
      </c>
      <c r="AJ200">
        <v>11</v>
      </c>
      <c r="AK200">
        <v>17</v>
      </c>
      <c r="AL200">
        <v>28</v>
      </c>
      <c r="AM200">
        <v>67</v>
      </c>
      <c r="AN200">
        <v>108</v>
      </c>
      <c r="AO200">
        <v>158</v>
      </c>
      <c r="AP200">
        <v>199</v>
      </c>
      <c r="AQ200">
        <v>268</v>
      </c>
      <c r="AR200">
        <v>335</v>
      </c>
      <c r="AS200">
        <v>399</v>
      </c>
      <c r="AT200">
        <v>475</v>
      </c>
      <c r="AU200">
        <v>566</v>
      </c>
      <c r="AV200">
        <v>674</v>
      </c>
      <c r="AW200">
        <v>822</v>
      </c>
      <c r="AX200">
        <v>987</v>
      </c>
      <c r="AY200">
        <v>1157</v>
      </c>
      <c r="AZ200">
        <v>1370</v>
      </c>
      <c r="BA200">
        <v>1623</v>
      </c>
      <c r="BB200">
        <v>2029</v>
      </c>
      <c r="BC200">
        <v>2415</v>
      </c>
      <c r="BD200">
        <v>2887</v>
      </c>
      <c r="BE200">
        <v>3458</v>
      </c>
      <c r="BF200">
        <v>3885</v>
      </c>
      <c r="BG200">
        <v>4257</v>
      </c>
      <c r="BH200">
        <v>4580</v>
      </c>
      <c r="BI200">
        <v>4835</v>
      </c>
      <c r="BJ200">
        <v>5143</v>
      </c>
      <c r="BK200">
        <v>5368</v>
      </c>
      <c r="BL200">
        <v>5654</v>
      </c>
      <c r="BM200">
        <v>5964</v>
      </c>
      <c r="BN200">
        <v>6228</v>
      </c>
      <c r="BO200">
        <v>6505</v>
      </c>
      <c r="BP200">
        <v>6819</v>
      </c>
      <c r="BQ200">
        <v>7141</v>
      </c>
      <c r="BR200">
        <v>7480</v>
      </c>
      <c r="BS200">
        <v>7753</v>
      </c>
      <c r="BT200">
        <v>7988</v>
      </c>
      <c r="BU200">
        <v>8199</v>
      </c>
      <c r="BV200">
        <v>8351</v>
      </c>
      <c r="BW200">
        <v>8459</v>
      </c>
      <c r="BX200">
        <v>8554</v>
      </c>
      <c r="BY200">
        <v>8632</v>
      </c>
      <c r="BZ200">
        <v>8685</v>
      </c>
      <c r="CA200">
        <v>8725</v>
      </c>
      <c r="CB200">
        <v>8746</v>
      </c>
      <c r="CC200">
        <v>8759</v>
      </c>
      <c r="CD200">
        <v>8760</v>
      </c>
      <c r="CE200">
        <v>8760</v>
      </c>
      <c r="CF200">
        <v>8760</v>
      </c>
      <c r="CG200">
        <v>8760</v>
      </c>
      <c r="CH200">
        <v>8760</v>
      </c>
      <c r="CI200">
        <v>8760</v>
      </c>
      <c r="CJ200">
        <v>8760</v>
      </c>
      <c r="CK200">
        <v>8760</v>
      </c>
      <c r="CL200">
        <v>8760</v>
      </c>
      <c r="CM200">
        <v>8760</v>
      </c>
      <c r="CN200">
        <v>8760</v>
      </c>
      <c r="CO200">
        <v>8760</v>
      </c>
      <c r="CP200">
        <v>8760</v>
      </c>
      <c r="CQ200">
        <v>8760</v>
      </c>
      <c r="CR200">
        <v>8760</v>
      </c>
      <c r="CS200">
        <v>8760</v>
      </c>
      <c r="CT200">
        <v>8760</v>
      </c>
      <c r="CU200">
        <v>8760</v>
      </c>
      <c r="CV200">
        <v>8760</v>
      </c>
      <c r="CW200">
        <v>8760</v>
      </c>
      <c r="CX200">
        <v>8760</v>
      </c>
      <c r="CY200">
        <v>8760</v>
      </c>
      <c r="CZ200">
        <v>8760</v>
      </c>
      <c r="DA200">
        <v>8760</v>
      </c>
      <c r="DB200">
        <v>8760</v>
      </c>
    </row>
    <row r="201" spans="1:106" x14ac:dyDescent="0.25">
      <c r="A201" s="13" t="s">
        <v>219</v>
      </c>
      <c r="B201" t="s">
        <v>204</v>
      </c>
      <c r="C201" t="s">
        <v>438</v>
      </c>
      <c r="D201" t="s">
        <v>765</v>
      </c>
      <c r="E201" t="s">
        <v>766</v>
      </c>
      <c r="F201">
        <v>102409</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1</v>
      </c>
      <c r="AO201">
        <v>5</v>
      </c>
      <c r="AP201">
        <v>8</v>
      </c>
      <c r="AQ201">
        <v>11</v>
      </c>
      <c r="AR201">
        <v>25</v>
      </c>
      <c r="AS201">
        <v>39</v>
      </c>
      <c r="AT201">
        <v>58</v>
      </c>
      <c r="AU201">
        <v>108</v>
      </c>
      <c r="AV201">
        <v>180</v>
      </c>
      <c r="AW201">
        <v>266</v>
      </c>
      <c r="AX201">
        <v>359</v>
      </c>
      <c r="AY201">
        <v>486</v>
      </c>
      <c r="AZ201">
        <v>668</v>
      </c>
      <c r="BA201">
        <v>879</v>
      </c>
      <c r="BB201">
        <v>1085</v>
      </c>
      <c r="BC201">
        <v>1379</v>
      </c>
      <c r="BD201">
        <v>1759</v>
      </c>
      <c r="BE201">
        <v>2217</v>
      </c>
      <c r="BF201">
        <v>2654</v>
      </c>
      <c r="BG201">
        <v>3087</v>
      </c>
      <c r="BH201">
        <v>3468</v>
      </c>
      <c r="BI201">
        <v>3844</v>
      </c>
      <c r="BJ201">
        <v>4161</v>
      </c>
      <c r="BK201">
        <v>4462</v>
      </c>
      <c r="BL201">
        <v>4752</v>
      </c>
      <c r="BM201">
        <v>5036</v>
      </c>
      <c r="BN201">
        <v>5332</v>
      </c>
      <c r="BO201">
        <v>5668</v>
      </c>
      <c r="BP201">
        <v>6019</v>
      </c>
      <c r="BQ201">
        <v>6403</v>
      </c>
      <c r="BR201">
        <v>6725</v>
      </c>
      <c r="BS201">
        <v>7049</v>
      </c>
      <c r="BT201">
        <v>7378</v>
      </c>
      <c r="BU201">
        <v>7669</v>
      </c>
      <c r="BV201">
        <v>7904</v>
      </c>
      <c r="BW201">
        <v>8103</v>
      </c>
      <c r="BX201">
        <v>8313</v>
      </c>
      <c r="BY201">
        <v>8466</v>
      </c>
      <c r="BZ201">
        <v>8564</v>
      </c>
      <c r="CA201">
        <v>8621</v>
      </c>
      <c r="CB201">
        <v>8650</v>
      </c>
      <c r="CC201">
        <v>8673</v>
      </c>
      <c r="CD201">
        <v>8698</v>
      </c>
      <c r="CE201">
        <v>8725</v>
      </c>
      <c r="CF201">
        <v>8742</v>
      </c>
      <c r="CG201">
        <v>8749</v>
      </c>
      <c r="CH201">
        <v>8756</v>
      </c>
      <c r="CI201">
        <v>8760</v>
      </c>
      <c r="CJ201">
        <v>8760</v>
      </c>
      <c r="CK201">
        <v>8760</v>
      </c>
      <c r="CL201">
        <v>8760</v>
      </c>
      <c r="CM201">
        <v>8760</v>
      </c>
      <c r="CN201">
        <v>8760</v>
      </c>
      <c r="CO201">
        <v>8760</v>
      </c>
      <c r="CP201">
        <v>8760</v>
      </c>
      <c r="CQ201">
        <v>8760</v>
      </c>
      <c r="CR201">
        <v>8760</v>
      </c>
      <c r="CS201">
        <v>8760</v>
      </c>
      <c r="CT201">
        <v>8760</v>
      </c>
      <c r="CU201">
        <v>8760</v>
      </c>
      <c r="CV201">
        <v>8760</v>
      </c>
      <c r="CW201">
        <v>8760</v>
      </c>
      <c r="CX201">
        <v>8760</v>
      </c>
      <c r="CY201">
        <v>8760</v>
      </c>
      <c r="CZ201">
        <v>8760</v>
      </c>
      <c r="DA201">
        <v>8760</v>
      </c>
      <c r="DB201">
        <v>8760</v>
      </c>
    </row>
    <row r="202" spans="1:106" x14ac:dyDescent="0.25">
      <c r="A202" s="13" t="s">
        <v>220</v>
      </c>
      <c r="B202" t="s">
        <v>205</v>
      </c>
      <c r="C202" t="s">
        <v>438</v>
      </c>
      <c r="D202" t="s">
        <v>767</v>
      </c>
      <c r="E202" t="s">
        <v>768</v>
      </c>
      <c r="F202">
        <v>102616</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2</v>
      </c>
      <c r="AO202">
        <v>5</v>
      </c>
      <c r="AP202">
        <v>11</v>
      </c>
      <c r="AQ202">
        <v>26</v>
      </c>
      <c r="AR202">
        <v>62</v>
      </c>
      <c r="AS202">
        <v>101</v>
      </c>
      <c r="AT202">
        <v>136</v>
      </c>
      <c r="AU202">
        <v>182</v>
      </c>
      <c r="AV202">
        <v>242</v>
      </c>
      <c r="AW202">
        <v>302</v>
      </c>
      <c r="AX202">
        <v>389</v>
      </c>
      <c r="AY202">
        <v>499</v>
      </c>
      <c r="AZ202">
        <v>641</v>
      </c>
      <c r="BA202">
        <v>881</v>
      </c>
      <c r="BB202">
        <v>1208</v>
      </c>
      <c r="BC202">
        <v>1536</v>
      </c>
      <c r="BD202">
        <v>1992</v>
      </c>
      <c r="BE202">
        <v>2478</v>
      </c>
      <c r="BF202">
        <v>2929</v>
      </c>
      <c r="BG202">
        <v>3350</v>
      </c>
      <c r="BH202">
        <v>3720</v>
      </c>
      <c r="BI202">
        <v>4025</v>
      </c>
      <c r="BJ202">
        <v>4282</v>
      </c>
      <c r="BK202">
        <v>4598</v>
      </c>
      <c r="BL202">
        <v>4942</v>
      </c>
      <c r="BM202">
        <v>5258</v>
      </c>
      <c r="BN202">
        <v>5619</v>
      </c>
      <c r="BO202">
        <v>5938</v>
      </c>
      <c r="BP202">
        <v>6302</v>
      </c>
      <c r="BQ202">
        <v>6680</v>
      </c>
      <c r="BR202">
        <v>7073</v>
      </c>
      <c r="BS202">
        <v>7412</v>
      </c>
      <c r="BT202">
        <v>7726</v>
      </c>
      <c r="BU202">
        <v>7981</v>
      </c>
      <c r="BV202">
        <v>8206</v>
      </c>
      <c r="BW202">
        <v>8383</v>
      </c>
      <c r="BX202">
        <v>8516</v>
      </c>
      <c r="BY202">
        <v>8622</v>
      </c>
      <c r="BZ202">
        <v>8680</v>
      </c>
      <c r="CA202">
        <v>8733</v>
      </c>
      <c r="CB202">
        <v>8755</v>
      </c>
      <c r="CC202">
        <v>8760</v>
      </c>
      <c r="CD202">
        <v>8760</v>
      </c>
      <c r="CE202">
        <v>8760</v>
      </c>
      <c r="CF202">
        <v>8760</v>
      </c>
      <c r="CG202">
        <v>8760</v>
      </c>
      <c r="CH202">
        <v>8760</v>
      </c>
      <c r="CI202">
        <v>8760</v>
      </c>
      <c r="CJ202">
        <v>8760</v>
      </c>
      <c r="CK202">
        <v>8760</v>
      </c>
      <c r="CL202">
        <v>8760</v>
      </c>
      <c r="CM202">
        <v>8760</v>
      </c>
      <c r="CN202">
        <v>8760</v>
      </c>
      <c r="CO202">
        <v>8760</v>
      </c>
      <c r="CP202">
        <v>8760</v>
      </c>
      <c r="CQ202">
        <v>8760</v>
      </c>
      <c r="CR202">
        <v>8760</v>
      </c>
      <c r="CS202">
        <v>8760</v>
      </c>
      <c r="CT202">
        <v>8760</v>
      </c>
      <c r="CU202">
        <v>8760</v>
      </c>
      <c r="CV202">
        <v>8760</v>
      </c>
      <c r="CW202">
        <v>8760</v>
      </c>
      <c r="CX202">
        <v>8760</v>
      </c>
      <c r="CY202">
        <v>8760</v>
      </c>
      <c r="CZ202">
        <v>8760</v>
      </c>
      <c r="DA202">
        <v>8760</v>
      </c>
      <c r="DB202">
        <v>8760</v>
      </c>
    </row>
    <row r="203" spans="1:106" x14ac:dyDescent="0.25">
      <c r="A203" s="13" t="s">
        <v>221</v>
      </c>
      <c r="B203" t="s">
        <v>404</v>
      </c>
      <c r="C203" t="s">
        <v>438</v>
      </c>
      <c r="D203" t="s">
        <v>769</v>
      </c>
      <c r="E203" t="s">
        <v>770</v>
      </c>
      <c r="F203">
        <v>102914</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11</v>
      </c>
      <c r="AF203">
        <v>33</v>
      </c>
      <c r="AG203">
        <v>51</v>
      </c>
      <c r="AH203">
        <v>72</v>
      </c>
      <c r="AI203">
        <v>107</v>
      </c>
      <c r="AJ203">
        <v>144</v>
      </c>
      <c r="AK203">
        <v>198</v>
      </c>
      <c r="AL203">
        <v>272</v>
      </c>
      <c r="AM203">
        <v>347</v>
      </c>
      <c r="AN203">
        <v>426</v>
      </c>
      <c r="AO203">
        <v>502</v>
      </c>
      <c r="AP203">
        <v>597</v>
      </c>
      <c r="AQ203">
        <v>677</v>
      </c>
      <c r="AR203">
        <v>773</v>
      </c>
      <c r="AS203">
        <v>915</v>
      </c>
      <c r="AT203">
        <v>1064</v>
      </c>
      <c r="AU203">
        <v>1235</v>
      </c>
      <c r="AV203">
        <v>1462</v>
      </c>
      <c r="AW203">
        <v>1707</v>
      </c>
      <c r="AX203">
        <v>1971</v>
      </c>
      <c r="AY203">
        <v>2302</v>
      </c>
      <c r="AZ203">
        <v>2586</v>
      </c>
      <c r="BA203">
        <v>2872</v>
      </c>
      <c r="BB203">
        <v>3183</v>
      </c>
      <c r="BC203">
        <v>3518</v>
      </c>
      <c r="BD203">
        <v>3860</v>
      </c>
      <c r="BE203">
        <v>4214</v>
      </c>
      <c r="BF203">
        <v>4535</v>
      </c>
      <c r="BG203">
        <v>4773</v>
      </c>
      <c r="BH203">
        <v>5004</v>
      </c>
      <c r="BI203">
        <v>5282</v>
      </c>
      <c r="BJ203">
        <v>5561</v>
      </c>
      <c r="BK203">
        <v>5860</v>
      </c>
      <c r="BL203">
        <v>6166</v>
      </c>
      <c r="BM203">
        <v>6449</v>
      </c>
      <c r="BN203">
        <v>6748</v>
      </c>
      <c r="BO203">
        <v>7037</v>
      </c>
      <c r="BP203">
        <v>7279</v>
      </c>
      <c r="BQ203">
        <v>7545</v>
      </c>
      <c r="BR203">
        <v>7800</v>
      </c>
      <c r="BS203">
        <v>8034</v>
      </c>
      <c r="BT203">
        <v>8215</v>
      </c>
      <c r="BU203">
        <v>8348</v>
      </c>
      <c r="BV203">
        <v>8442</v>
      </c>
      <c r="BW203">
        <v>8521</v>
      </c>
      <c r="BX203">
        <v>8597</v>
      </c>
      <c r="BY203">
        <v>8655</v>
      </c>
      <c r="BZ203">
        <v>8710</v>
      </c>
      <c r="CA203">
        <v>8738</v>
      </c>
      <c r="CB203">
        <v>8749</v>
      </c>
      <c r="CC203">
        <v>8751</v>
      </c>
      <c r="CD203">
        <v>8752</v>
      </c>
      <c r="CE203">
        <v>8753</v>
      </c>
      <c r="CF203">
        <v>8755</v>
      </c>
      <c r="CG203">
        <v>8757</v>
      </c>
      <c r="CH203">
        <v>8759</v>
      </c>
      <c r="CI203">
        <v>8760</v>
      </c>
      <c r="CJ203">
        <v>8760</v>
      </c>
      <c r="CK203">
        <v>8760</v>
      </c>
      <c r="CL203">
        <v>8760</v>
      </c>
      <c r="CM203">
        <v>8760</v>
      </c>
      <c r="CN203">
        <v>8760</v>
      </c>
      <c r="CO203">
        <v>8760</v>
      </c>
      <c r="CP203">
        <v>8760</v>
      </c>
      <c r="CQ203">
        <v>8760</v>
      </c>
      <c r="CR203">
        <v>8760</v>
      </c>
      <c r="CS203">
        <v>8760</v>
      </c>
      <c r="CT203">
        <v>8760</v>
      </c>
      <c r="CU203">
        <v>8760</v>
      </c>
      <c r="CV203">
        <v>8760</v>
      </c>
      <c r="CW203">
        <v>8760</v>
      </c>
      <c r="CX203">
        <v>8760</v>
      </c>
      <c r="CY203">
        <v>8760</v>
      </c>
      <c r="CZ203">
        <v>8760</v>
      </c>
      <c r="DA203">
        <v>8760</v>
      </c>
      <c r="DB203">
        <v>8760</v>
      </c>
    </row>
    <row r="204" spans="1:106" x14ac:dyDescent="0.25">
      <c r="A204" s="13" t="s">
        <v>222</v>
      </c>
      <c r="B204" t="s">
        <v>207</v>
      </c>
      <c r="C204" t="s">
        <v>438</v>
      </c>
      <c r="D204" t="s">
        <v>771</v>
      </c>
      <c r="E204" t="s">
        <v>772</v>
      </c>
      <c r="F204">
        <v>102309</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2</v>
      </c>
      <c r="AJ204">
        <v>5</v>
      </c>
      <c r="AK204">
        <v>13</v>
      </c>
      <c r="AL204">
        <v>22</v>
      </c>
      <c r="AM204">
        <v>39</v>
      </c>
      <c r="AN204">
        <v>57</v>
      </c>
      <c r="AO204">
        <v>74</v>
      </c>
      <c r="AP204">
        <v>93</v>
      </c>
      <c r="AQ204">
        <v>124</v>
      </c>
      <c r="AR204">
        <v>148</v>
      </c>
      <c r="AS204">
        <v>180</v>
      </c>
      <c r="AT204">
        <v>227</v>
      </c>
      <c r="AU204">
        <v>285</v>
      </c>
      <c r="AV204">
        <v>336</v>
      </c>
      <c r="AW204">
        <v>403</v>
      </c>
      <c r="AX204">
        <v>464</v>
      </c>
      <c r="AY204">
        <v>568</v>
      </c>
      <c r="AZ204">
        <v>713</v>
      </c>
      <c r="BA204">
        <v>881</v>
      </c>
      <c r="BB204">
        <v>1075</v>
      </c>
      <c r="BC204">
        <v>1320</v>
      </c>
      <c r="BD204">
        <v>1661</v>
      </c>
      <c r="BE204">
        <v>2123</v>
      </c>
      <c r="BF204">
        <v>2552</v>
      </c>
      <c r="BG204">
        <v>2938</v>
      </c>
      <c r="BH204">
        <v>3361</v>
      </c>
      <c r="BI204">
        <v>3717</v>
      </c>
      <c r="BJ204">
        <v>4114</v>
      </c>
      <c r="BK204">
        <v>4443</v>
      </c>
      <c r="BL204">
        <v>4744</v>
      </c>
      <c r="BM204">
        <v>5062</v>
      </c>
      <c r="BN204">
        <v>5365</v>
      </c>
      <c r="BO204">
        <v>5712</v>
      </c>
      <c r="BP204">
        <v>6109</v>
      </c>
      <c r="BQ204">
        <v>6493</v>
      </c>
      <c r="BR204">
        <v>6890</v>
      </c>
      <c r="BS204">
        <v>7207</v>
      </c>
      <c r="BT204">
        <v>7496</v>
      </c>
      <c r="BU204">
        <v>7732</v>
      </c>
      <c r="BV204">
        <v>7942</v>
      </c>
      <c r="BW204">
        <v>8105</v>
      </c>
      <c r="BX204">
        <v>8237</v>
      </c>
      <c r="BY204">
        <v>8353</v>
      </c>
      <c r="BZ204">
        <v>8453</v>
      </c>
      <c r="CA204">
        <v>8543</v>
      </c>
      <c r="CB204">
        <v>8618</v>
      </c>
      <c r="CC204">
        <v>8672</v>
      </c>
      <c r="CD204">
        <v>8710</v>
      </c>
      <c r="CE204">
        <v>8732</v>
      </c>
      <c r="CF204">
        <v>8752</v>
      </c>
      <c r="CG204">
        <v>8758</v>
      </c>
      <c r="CH204">
        <v>8760</v>
      </c>
      <c r="CI204">
        <v>8760</v>
      </c>
      <c r="CJ204">
        <v>8760</v>
      </c>
      <c r="CK204">
        <v>8760</v>
      </c>
      <c r="CL204">
        <v>8760</v>
      </c>
      <c r="CM204">
        <v>8760</v>
      </c>
      <c r="CN204">
        <v>8760</v>
      </c>
      <c r="CO204">
        <v>8760</v>
      </c>
      <c r="CP204">
        <v>8760</v>
      </c>
      <c r="CQ204">
        <v>8760</v>
      </c>
      <c r="CR204">
        <v>8760</v>
      </c>
      <c r="CS204">
        <v>8760</v>
      </c>
      <c r="CT204">
        <v>8760</v>
      </c>
      <c r="CU204">
        <v>8760</v>
      </c>
      <c r="CV204">
        <v>8760</v>
      </c>
      <c r="CW204">
        <v>8760</v>
      </c>
      <c r="CX204">
        <v>8760</v>
      </c>
      <c r="CY204">
        <v>8760</v>
      </c>
      <c r="CZ204">
        <v>8760</v>
      </c>
      <c r="DA204">
        <v>8760</v>
      </c>
      <c r="DB204">
        <v>8760</v>
      </c>
    </row>
    <row r="205" spans="1:106" x14ac:dyDescent="0.25">
      <c r="A205" s="13" t="s">
        <v>222</v>
      </c>
      <c r="B205" t="s">
        <v>209</v>
      </c>
      <c r="C205" t="s">
        <v>438</v>
      </c>
      <c r="D205" t="s">
        <v>691</v>
      </c>
      <c r="E205" t="s">
        <v>773</v>
      </c>
      <c r="F205">
        <v>102645</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6</v>
      </c>
      <c r="AO205">
        <v>13</v>
      </c>
      <c r="AP205">
        <v>25</v>
      </c>
      <c r="AQ205">
        <v>47</v>
      </c>
      <c r="AR205">
        <v>69</v>
      </c>
      <c r="AS205">
        <v>102</v>
      </c>
      <c r="AT205">
        <v>146</v>
      </c>
      <c r="AU205">
        <v>188</v>
      </c>
      <c r="AV205">
        <v>239</v>
      </c>
      <c r="AW205">
        <v>281</v>
      </c>
      <c r="AX205">
        <v>379</v>
      </c>
      <c r="AY205">
        <v>508</v>
      </c>
      <c r="AZ205">
        <v>724</v>
      </c>
      <c r="BA205">
        <v>950</v>
      </c>
      <c r="BB205">
        <v>1228</v>
      </c>
      <c r="BC205">
        <v>1590</v>
      </c>
      <c r="BD205">
        <v>1983</v>
      </c>
      <c r="BE205">
        <v>2430</v>
      </c>
      <c r="BF205">
        <v>2866</v>
      </c>
      <c r="BG205">
        <v>3300</v>
      </c>
      <c r="BH205">
        <v>3660</v>
      </c>
      <c r="BI205">
        <v>4035</v>
      </c>
      <c r="BJ205">
        <v>4395</v>
      </c>
      <c r="BK205">
        <v>4702</v>
      </c>
      <c r="BL205">
        <v>4973</v>
      </c>
      <c r="BM205">
        <v>5283</v>
      </c>
      <c r="BN205">
        <v>5632</v>
      </c>
      <c r="BO205">
        <v>5980</v>
      </c>
      <c r="BP205">
        <v>6386</v>
      </c>
      <c r="BQ205">
        <v>6717</v>
      </c>
      <c r="BR205">
        <v>7090</v>
      </c>
      <c r="BS205">
        <v>7406</v>
      </c>
      <c r="BT205">
        <v>7681</v>
      </c>
      <c r="BU205">
        <v>7934</v>
      </c>
      <c r="BV205">
        <v>8135</v>
      </c>
      <c r="BW205">
        <v>8304</v>
      </c>
      <c r="BX205">
        <v>8437</v>
      </c>
      <c r="BY205">
        <v>8538</v>
      </c>
      <c r="BZ205">
        <v>8617</v>
      </c>
      <c r="CA205">
        <v>8682</v>
      </c>
      <c r="CB205">
        <v>8723</v>
      </c>
      <c r="CC205">
        <v>8751</v>
      </c>
      <c r="CD205">
        <v>8758</v>
      </c>
      <c r="CE205">
        <v>8760</v>
      </c>
      <c r="CF205">
        <v>8760</v>
      </c>
      <c r="CG205">
        <v>8760</v>
      </c>
      <c r="CH205">
        <v>8760</v>
      </c>
      <c r="CI205">
        <v>8760</v>
      </c>
      <c r="CJ205">
        <v>8760</v>
      </c>
      <c r="CK205">
        <v>8760</v>
      </c>
      <c r="CL205">
        <v>8760</v>
      </c>
      <c r="CM205">
        <v>8760</v>
      </c>
      <c r="CN205">
        <v>8760</v>
      </c>
      <c r="CO205">
        <v>8760</v>
      </c>
      <c r="CP205">
        <v>8760</v>
      </c>
      <c r="CQ205">
        <v>8760</v>
      </c>
      <c r="CR205">
        <v>8760</v>
      </c>
      <c r="CS205">
        <v>8760</v>
      </c>
      <c r="CT205">
        <v>8760</v>
      </c>
      <c r="CU205">
        <v>8760</v>
      </c>
      <c r="CV205">
        <v>8760</v>
      </c>
      <c r="CW205">
        <v>8760</v>
      </c>
      <c r="CX205">
        <v>8760</v>
      </c>
      <c r="CY205">
        <v>8760</v>
      </c>
      <c r="CZ205">
        <v>8760</v>
      </c>
      <c r="DA205">
        <v>8760</v>
      </c>
      <c r="DB205">
        <v>8760</v>
      </c>
    </row>
    <row r="206" spans="1:106" x14ac:dyDescent="0.25">
      <c r="A206" s="13" t="s">
        <v>223</v>
      </c>
      <c r="B206" t="s">
        <v>208</v>
      </c>
      <c r="C206" t="s">
        <v>438</v>
      </c>
      <c r="D206" t="s">
        <v>774</v>
      </c>
      <c r="E206" t="s">
        <v>775</v>
      </c>
      <c r="F206">
        <v>102413</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3</v>
      </c>
      <c r="AQ206">
        <v>10</v>
      </c>
      <c r="AR206">
        <v>52</v>
      </c>
      <c r="AS206">
        <v>81</v>
      </c>
      <c r="AT206">
        <v>106</v>
      </c>
      <c r="AU206">
        <v>134</v>
      </c>
      <c r="AV206">
        <v>185</v>
      </c>
      <c r="AW206">
        <v>248</v>
      </c>
      <c r="AX206">
        <v>318</v>
      </c>
      <c r="AY206">
        <v>435</v>
      </c>
      <c r="AZ206">
        <v>572</v>
      </c>
      <c r="BA206">
        <v>785</v>
      </c>
      <c r="BB206">
        <v>1015</v>
      </c>
      <c r="BC206">
        <v>1331</v>
      </c>
      <c r="BD206">
        <v>1724</v>
      </c>
      <c r="BE206">
        <v>2129</v>
      </c>
      <c r="BF206">
        <v>2537</v>
      </c>
      <c r="BG206">
        <v>2931</v>
      </c>
      <c r="BH206">
        <v>3349</v>
      </c>
      <c r="BI206">
        <v>3790</v>
      </c>
      <c r="BJ206">
        <v>4161</v>
      </c>
      <c r="BK206">
        <v>4449</v>
      </c>
      <c r="BL206">
        <v>4762</v>
      </c>
      <c r="BM206">
        <v>5084</v>
      </c>
      <c r="BN206">
        <v>5453</v>
      </c>
      <c r="BO206">
        <v>5837</v>
      </c>
      <c r="BP206">
        <v>6248</v>
      </c>
      <c r="BQ206">
        <v>6653</v>
      </c>
      <c r="BR206">
        <v>7007</v>
      </c>
      <c r="BS206">
        <v>7368</v>
      </c>
      <c r="BT206">
        <v>7680</v>
      </c>
      <c r="BU206">
        <v>7987</v>
      </c>
      <c r="BV206">
        <v>8185</v>
      </c>
      <c r="BW206">
        <v>8378</v>
      </c>
      <c r="BX206">
        <v>8507</v>
      </c>
      <c r="BY206">
        <v>8590</v>
      </c>
      <c r="BZ206">
        <v>8654</v>
      </c>
      <c r="CA206">
        <v>8704</v>
      </c>
      <c r="CB206">
        <v>8723</v>
      </c>
      <c r="CC206">
        <v>8740</v>
      </c>
      <c r="CD206">
        <v>8754</v>
      </c>
      <c r="CE206">
        <v>8760</v>
      </c>
      <c r="CF206">
        <v>8760</v>
      </c>
      <c r="CG206">
        <v>8760</v>
      </c>
      <c r="CH206">
        <v>8760</v>
      </c>
      <c r="CI206">
        <v>8760</v>
      </c>
      <c r="CJ206">
        <v>8760</v>
      </c>
      <c r="CK206">
        <v>8760</v>
      </c>
      <c r="CL206">
        <v>8760</v>
      </c>
      <c r="CM206">
        <v>8760</v>
      </c>
      <c r="CN206">
        <v>8760</v>
      </c>
      <c r="CO206">
        <v>8760</v>
      </c>
      <c r="CP206">
        <v>8760</v>
      </c>
      <c r="CQ206">
        <v>8760</v>
      </c>
      <c r="CR206">
        <v>8760</v>
      </c>
      <c r="CS206">
        <v>8760</v>
      </c>
      <c r="CT206">
        <v>8760</v>
      </c>
      <c r="CU206">
        <v>8760</v>
      </c>
      <c r="CV206">
        <v>8760</v>
      </c>
      <c r="CW206">
        <v>8760</v>
      </c>
      <c r="CX206">
        <v>8760</v>
      </c>
      <c r="CY206">
        <v>8760</v>
      </c>
      <c r="CZ206">
        <v>8760</v>
      </c>
      <c r="DA206">
        <v>8760</v>
      </c>
      <c r="DB206">
        <v>8760</v>
      </c>
    </row>
    <row r="207" spans="1:106" x14ac:dyDescent="0.25">
      <c r="A207" s="13" t="s">
        <v>224</v>
      </c>
      <c r="B207" t="s">
        <v>210</v>
      </c>
      <c r="C207" t="s">
        <v>438</v>
      </c>
      <c r="D207" t="s">
        <v>776</v>
      </c>
      <c r="E207" t="s">
        <v>777</v>
      </c>
      <c r="F207">
        <v>102609</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18</v>
      </c>
      <c r="AT207">
        <v>43</v>
      </c>
      <c r="AU207">
        <v>77</v>
      </c>
      <c r="AV207">
        <v>125</v>
      </c>
      <c r="AW207">
        <v>177</v>
      </c>
      <c r="AX207">
        <v>275</v>
      </c>
      <c r="AY207">
        <v>344</v>
      </c>
      <c r="AZ207">
        <v>439</v>
      </c>
      <c r="BA207">
        <v>573</v>
      </c>
      <c r="BB207">
        <v>720</v>
      </c>
      <c r="BC207">
        <v>911</v>
      </c>
      <c r="BD207">
        <v>1315</v>
      </c>
      <c r="BE207">
        <v>1884</v>
      </c>
      <c r="BF207">
        <v>2444</v>
      </c>
      <c r="BG207">
        <v>2976</v>
      </c>
      <c r="BH207">
        <v>3432</v>
      </c>
      <c r="BI207">
        <v>3852</v>
      </c>
      <c r="BJ207">
        <v>4230</v>
      </c>
      <c r="BK207">
        <v>4533</v>
      </c>
      <c r="BL207">
        <v>4831</v>
      </c>
      <c r="BM207">
        <v>5124</v>
      </c>
      <c r="BN207">
        <v>5469</v>
      </c>
      <c r="BO207">
        <v>5834</v>
      </c>
      <c r="BP207">
        <v>6282</v>
      </c>
      <c r="BQ207">
        <v>6670</v>
      </c>
      <c r="BR207">
        <v>7033</v>
      </c>
      <c r="BS207">
        <v>7404</v>
      </c>
      <c r="BT207">
        <v>7713</v>
      </c>
      <c r="BU207">
        <v>7971</v>
      </c>
      <c r="BV207">
        <v>8216</v>
      </c>
      <c r="BW207">
        <v>8382</v>
      </c>
      <c r="BX207">
        <v>8523</v>
      </c>
      <c r="BY207">
        <v>8623</v>
      </c>
      <c r="BZ207">
        <v>8682</v>
      </c>
      <c r="CA207">
        <v>8728</v>
      </c>
      <c r="CB207">
        <v>8744</v>
      </c>
      <c r="CC207">
        <v>8757</v>
      </c>
      <c r="CD207">
        <v>8760</v>
      </c>
      <c r="CE207">
        <v>8760</v>
      </c>
      <c r="CF207">
        <v>8760</v>
      </c>
      <c r="CG207">
        <v>8760</v>
      </c>
      <c r="CH207">
        <v>8760</v>
      </c>
      <c r="CI207">
        <v>8760</v>
      </c>
      <c r="CJ207">
        <v>8760</v>
      </c>
      <c r="CK207">
        <v>8760</v>
      </c>
      <c r="CL207">
        <v>8760</v>
      </c>
      <c r="CM207">
        <v>8760</v>
      </c>
      <c r="CN207">
        <v>8760</v>
      </c>
      <c r="CO207">
        <v>8760</v>
      </c>
      <c r="CP207">
        <v>8760</v>
      </c>
      <c r="CQ207">
        <v>8760</v>
      </c>
      <c r="CR207">
        <v>8760</v>
      </c>
      <c r="CS207">
        <v>8760</v>
      </c>
      <c r="CT207">
        <v>8760</v>
      </c>
      <c r="CU207">
        <v>8760</v>
      </c>
      <c r="CV207">
        <v>8760</v>
      </c>
      <c r="CW207">
        <v>8760</v>
      </c>
      <c r="CX207">
        <v>8760</v>
      </c>
      <c r="CY207">
        <v>8760</v>
      </c>
      <c r="CZ207">
        <v>8760</v>
      </c>
      <c r="DA207">
        <v>8760</v>
      </c>
      <c r="DB207">
        <v>8760</v>
      </c>
    </row>
    <row r="208" spans="1:106" x14ac:dyDescent="0.25">
      <c r="A208" s="13" t="s">
        <v>225</v>
      </c>
      <c r="B208" t="s">
        <v>405</v>
      </c>
    </row>
    <row r="209" spans="1:106" x14ac:dyDescent="0.25">
      <c r="A209" s="13" t="s">
        <v>226</v>
      </c>
      <c r="B209" t="s">
        <v>406</v>
      </c>
      <c r="C209" t="s">
        <v>438</v>
      </c>
      <c r="D209" t="s">
        <v>778</v>
      </c>
      <c r="E209" t="s">
        <v>779</v>
      </c>
      <c r="F209">
        <v>102321</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1</v>
      </c>
      <c r="AM209">
        <v>4</v>
      </c>
      <c r="AN209">
        <v>8</v>
      </c>
      <c r="AO209">
        <v>12</v>
      </c>
      <c r="AP209">
        <v>18</v>
      </c>
      <c r="AQ209">
        <v>37</v>
      </c>
      <c r="AR209">
        <v>77</v>
      </c>
      <c r="AS209">
        <v>123</v>
      </c>
      <c r="AT209">
        <v>201</v>
      </c>
      <c r="AU209">
        <v>288</v>
      </c>
      <c r="AV209">
        <v>373</v>
      </c>
      <c r="AW209">
        <v>469</v>
      </c>
      <c r="AX209">
        <v>572</v>
      </c>
      <c r="AY209">
        <v>726</v>
      </c>
      <c r="AZ209">
        <v>916</v>
      </c>
      <c r="BA209">
        <v>1150</v>
      </c>
      <c r="BB209">
        <v>1405</v>
      </c>
      <c r="BC209">
        <v>1680</v>
      </c>
      <c r="BD209">
        <v>2096</v>
      </c>
      <c r="BE209">
        <v>2543</v>
      </c>
      <c r="BF209">
        <v>2934</v>
      </c>
      <c r="BG209">
        <v>3247</v>
      </c>
      <c r="BH209">
        <v>3643</v>
      </c>
      <c r="BI209">
        <v>4000</v>
      </c>
      <c r="BJ209">
        <v>4411</v>
      </c>
      <c r="BK209">
        <v>4750</v>
      </c>
      <c r="BL209">
        <v>5057</v>
      </c>
      <c r="BM209">
        <v>5435</v>
      </c>
      <c r="BN209">
        <v>5881</v>
      </c>
      <c r="BO209">
        <v>6299</v>
      </c>
      <c r="BP209">
        <v>6705</v>
      </c>
      <c r="BQ209">
        <v>7077</v>
      </c>
      <c r="BR209">
        <v>7422</v>
      </c>
      <c r="BS209">
        <v>7720</v>
      </c>
      <c r="BT209">
        <v>8011</v>
      </c>
      <c r="BU209">
        <v>8234</v>
      </c>
      <c r="BV209">
        <v>8422</v>
      </c>
      <c r="BW209">
        <v>8537</v>
      </c>
      <c r="BX209">
        <v>8611</v>
      </c>
      <c r="BY209">
        <v>8668</v>
      </c>
      <c r="BZ209">
        <v>8707</v>
      </c>
      <c r="CA209">
        <v>8731</v>
      </c>
      <c r="CB209">
        <v>8741</v>
      </c>
      <c r="CC209">
        <v>8750</v>
      </c>
      <c r="CD209">
        <v>8757</v>
      </c>
      <c r="CE209">
        <v>8760</v>
      </c>
      <c r="CF209">
        <v>8760</v>
      </c>
      <c r="CG209">
        <v>8760</v>
      </c>
      <c r="CH209">
        <v>8760</v>
      </c>
      <c r="CI209">
        <v>8760</v>
      </c>
      <c r="CJ209">
        <v>8760</v>
      </c>
      <c r="CK209">
        <v>8760</v>
      </c>
      <c r="CL209">
        <v>8760</v>
      </c>
      <c r="CM209">
        <v>8760</v>
      </c>
      <c r="CN209">
        <v>8760</v>
      </c>
      <c r="CO209">
        <v>8760</v>
      </c>
      <c r="CP209">
        <v>8760</v>
      </c>
      <c r="CQ209">
        <v>8760</v>
      </c>
      <c r="CR209">
        <v>8760</v>
      </c>
      <c r="CS209">
        <v>8760</v>
      </c>
      <c r="CT209">
        <v>8760</v>
      </c>
      <c r="CU209">
        <v>8760</v>
      </c>
      <c r="CV209">
        <v>8760</v>
      </c>
      <c r="CW209">
        <v>8760</v>
      </c>
      <c r="CX209">
        <v>8760</v>
      </c>
      <c r="CY209">
        <v>8760</v>
      </c>
      <c r="CZ209">
        <v>8760</v>
      </c>
      <c r="DA209">
        <v>8760</v>
      </c>
      <c r="DB209">
        <v>8760</v>
      </c>
    </row>
    <row r="210" spans="1:106" x14ac:dyDescent="0.25">
      <c r="A210" s="13" t="s">
        <v>227</v>
      </c>
      <c r="B210" t="s">
        <v>211</v>
      </c>
      <c r="C210" t="s">
        <v>438</v>
      </c>
      <c r="D210" t="s">
        <v>780</v>
      </c>
      <c r="E210" t="s">
        <v>781</v>
      </c>
      <c r="F210">
        <v>102712</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8</v>
      </c>
      <c r="AO210">
        <v>22</v>
      </c>
      <c r="AP210">
        <v>47</v>
      </c>
      <c r="AQ210">
        <v>73</v>
      </c>
      <c r="AR210">
        <v>105</v>
      </c>
      <c r="AS210">
        <v>147</v>
      </c>
      <c r="AT210">
        <v>206</v>
      </c>
      <c r="AU210">
        <v>284</v>
      </c>
      <c r="AV210">
        <v>382</v>
      </c>
      <c r="AW210">
        <v>493</v>
      </c>
      <c r="AX210">
        <v>598</v>
      </c>
      <c r="AY210">
        <v>737</v>
      </c>
      <c r="AZ210">
        <v>954</v>
      </c>
      <c r="BA210">
        <v>1211</v>
      </c>
      <c r="BB210">
        <v>1518</v>
      </c>
      <c r="BC210">
        <v>1950</v>
      </c>
      <c r="BD210">
        <v>2405</v>
      </c>
      <c r="BE210">
        <v>2932</v>
      </c>
      <c r="BF210">
        <v>3393</v>
      </c>
      <c r="BG210">
        <v>3797</v>
      </c>
      <c r="BH210">
        <v>4170</v>
      </c>
      <c r="BI210">
        <v>4558</v>
      </c>
      <c r="BJ210">
        <v>4884</v>
      </c>
      <c r="BK210">
        <v>5182</v>
      </c>
      <c r="BL210">
        <v>5523</v>
      </c>
      <c r="BM210">
        <v>5830</v>
      </c>
      <c r="BN210">
        <v>6098</v>
      </c>
      <c r="BO210">
        <v>6381</v>
      </c>
      <c r="BP210">
        <v>6667</v>
      </c>
      <c r="BQ210">
        <v>6959</v>
      </c>
      <c r="BR210">
        <v>7248</v>
      </c>
      <c r="BS210">
        <v>7516</v>
      </c>
      <c r="BT210">
        <v>7773</v>
      </c>
      <c r="BU210">
        <v>7977</v>
      </c>
      <c r="BV210">
        <v>8159</v>
      </c>
      <c r="BW210">
        <v>8355</v>
      </c>
      <c r="BX210">
        <v>8475</v>
      </c>
      <c r="BY210">
        <v>8574</v>
      </c>
      <c r="BZ210">
        <v>8637</v>
      </c>
      <c r="CA210">
        <v>8674</v>
      </c>
      <c r="CB210">
        <v>8709</v>
      </c>
      <c r="CC210">
        <v>8737</v>
      </c>
      <c r="CD210">
        <v>8755</v>
      </c>
      <c r="CE210">
        <v>8760</v>
      </c>
      <c r="CF210">
        <v>8760</v>
      </c>
      <c r="CG210">
        <v>8760</v>
      </c>
      <c r="CH210">
        <v>8760</v>
      </c>
      <c r="CI210">
        <v>8760</v>
      </c>
      <c r="CJ210">
        <v>8760</v>
      </c>
      <c r="CK210">
        <v>8760</v>
      </c>
      <c r="CL210">
        <v>8760</v>
      </c>
      <c r="CM210">
        <v>8760</v>
      </c>
      <c r="CN210">
        <v>8760</v>
      </c>
      <c r="CO210">
        <v>8760</v>
      </c>
      <c r="CP210">
        <v>8760</v>
      </c>
      <c r="CQ210">
        <v>8760</v>
      </c>
      <c r="CR210">
        <v>8760</v>
      </c>
      <c r="CS210">
        <v>8760</v>
      </c>
      <c r="CT210">
        <v>8760</v>
      </c>
      <c r="CU210">
        <v>8760</v>
      </c>
      <c r="CV210">
        <v>8760</v>
      </c>
      <c r="CW210">
        <v>8760</v>
      </c>
      <c r="CX210">
        <v>8760</v>
      </c>
      <c r="CY210">
        <v>8760</v>
      </c>
      <c r="CZ210">
        <v>8760</v>
      </c>
      <c r="DA210">
        <v>8760</v>
      </c>
      <c r="DB210">
        <v>8760</v>
      </c>
    </row>
    <row r="211" spans="1:106" x14ac:dyDescent="0.25">
      <c r="A211" s="13" t="s">
        <v>228</v>
      </c>
      <c r="B211" t="s">
        <v>214</v>
      </c>
      <c r="C211" t="s">
        <v>438</v>
      </c>
      <c r="D211" t="s">
        <v>782</v>
      </c>
      <c r="E211" t="s">
        <v>783</v>
      </c>
      <c r="F211">
        <v>102116</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19</v>
      </c>
      <c r="AT211">
        <v>38</v>
      </c>
      <c r="AU211">
        <v>59</v>
      </c>
      <c r="AV211">
        <v>89</v>
      </c>
      <c r="AW211">
        <v>150</v>
      </c>
      <c r="AX211">
        <v>202</v>
      </c>
      <c r="AY211">
        <v>297</v>
      </c>
      <c r="AZ211">
        <v>427</v>
      </c>
      <c r="BA211">
        <v>576</v>
      </c>
      <c r="BB211">
        <v>820</v>
      </c>
      <c r="BC211">
        <v>1072</v>
      </c>
      <c r="BD211">
        <v>1394</v>
      </c>
      <c r="BE211">
        <v>1793</v>
      </c>
      <c r="BF211">
        <v>2176</v>
      </c>
      <c r="BG211">
        <v>2674</v>
      </c>
      <c r="BH211">
        <v>3256</v>
      </c>
      <c r="BI211">
        <v>3712</v>
      </c>
      <c r="BJ211">
        <v>4054</v>
      </c>
      <c r="BK211">
        <v>4373</v>
      </c>
      <c r="BL211">
        <v>4641</v>
      </c>
      <c r="BM211">
        <v>4917</v>
      </c>
      <c r="BN211">
        <v>5238</v>
      </c>
      <c r="BO211">
        <v>5606</v>
      </c>
      <c r="BP211">
        <v>6015</v>
      </c>
      <c r="BQ211">
        <v>6452</v>
      </c>
      <c r="BR211">
        <v>6825</v>
      </c>
      <c r="BS211">
        <v>7166</v>
      </c>
      <c r="BT211">
        <v>7469</v>
      </c>
      <c r="BU211">
        <v>7745</v>
      </c>
      <c r="BV211">
        <v>7960</v>
      </c>
      <c r="BW211">
        <v>8155</v>
      </c>
      <c r="BX211">
        <v>8324</v>
      </c>
      <c r="BY211">
        <v>8463</v>
      </c>
      <c r="BZ211">
        <v>8574</v>
      </c>
      <c r="CA211">
        <v>8649</v>
      </c>
      <c r="CB211">
        <v>8697</v>
      </c>
      <c r="CC211">
        <v>8737</v>
      </c>
      <c r="CD211">
        <v>8749</v>
      </c>
      <c r="CE211">
        <v>8756</v>
      </c>
      <c r="CF211">
        <v>8756</v>
      </c>
      <c r="CG211">
        <v>8759</v>
      </c>
      <c r="CH211">
        <v>8760</v>
      </c>
      <c r="CI211">
        <v>8760</v>
      </c>
      <c r="CJ211">
        <v>8760</v>
      </c>
      <c r="CK211">
        <v>8760</v>
      </c>
      <c r="CL211">
        <v>8760</v>
      </c>
      <c r="CM211">
        <v>8760</v>
      </c>
      <c r="CN211">
        <v>8760</v>
      </c>
      <c r="CO211">
        <v>8760</v>
      </c>
      <c r="CP211">
        <v>8760</v>
      </c>
      <c r="CQ211">
        <v>8760</v>
      </c>
      <c r="CR211">
        <v>8760</v>
      </c>
      <c r="CS211">
        <v>8760</v>
      </c>
      <c r="CT211">
        <v>8760</v>
      </c>
      <c r="CU211">
        <v>8760</v>
      </c>
      <c r="CV211">
        <v>8760</v>
      </c>
      <c r="CW211">
        <v>8760</v>
      </c>
      <c r="CX211">
        <v>8760</v>
      </c>
      <c r="CY211">
        <v>8760</v>
      </c>
      <c r="CZ211">
        <v>8760</v>
      </c>
      <c r="DA211">
        <v>8760</v>
      </c>
      <c r="DB211">
        <v>8760</v>
      </c>
    </row>
    <row r="212" spans="1:106" x14ac:dyDescent="0.25">
      <c r="A212" s="13" t="s">
        <v>229</v>
      </c>
      <c r="B212" t="s">
        <v>407</v>
      </c>
    </row>
    <row r="213" spans="1:106" x14ac:dyDescent="0.25">
      <c r="A213" s="13" t="s">
        <v>230</v>
      </c>
      <c r="B213" t="s">
        <v>218</v>
      </c>
      <c r="C213" t="s">
        <v>438</v>
      </c>
      <c r="D213" t="s">
        <v>784</v>
      </c>
      <c r="E213" t="s">
        <v>785</v>
      </c>
      <c r="F213">
        <v>102727</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2</v>
      </c>
      <c r="AF213">
        <v>5</v>
      </c>
      <c r="AG213">
        <v>11</v>
      </c>
      <c r="AH213">
        <v>23</v>
      </c>
      <c r="AI213">
        <v>35</v>
      </c>
      <c r="AJ213">
        <v>52</v>
      </c>
      <c r="AK213">
        <v>75</v>
      </c>
      <c r="AL213">
        <v>118</v>
      </c>
      <c r="AM213">
        <v>153</v>
      </c>
      <c r="AN213">
        <v>202</v>
      </c>
      <c r="AO213">
        <v>240</v>
      </c>
      <c r="AP213">
        <v>295</v>
      </c>
      <c r="AQ213">
        <v>365</v>
      </c>
      <c r="AR213">
        <v>451</v>
      </c>
      <c r="AS213">
        <v>540</v>
      </c>
      <c r="AT213">
        <v>633</v>
      </c>
      <c r="AU213">
        <v>750</v>
      </c>
      <c r="AV213">
        <v>864</v>
      </c>
      <c r="AW213">
        <v>970</v>
      </c>
      <c r="AX213">
        <v>1101</v>
      </c>
      <c r="AY213">
        <v>1271</v>
      </c>
      <c r="AZ213">
        <v>1461</v>
      </c>
      <c r="BA213">
        <v>1699</v>
      </c>
      <c r="BB213">
        <v>2032</v>
      </c>
      <c r="BC213">
        <v>2415</v>
      </c>
      <c r="BD213">
        <v>2796</v>
      </c>
      <c r="BE213">
        <v>3261</v>
      </c>
      <c r="BF213">
        <v>3630</v>
      </c>
      <c r="BG213">
        <v>3989</v>
      </c>
      <c r="BH213">
        <v>4309</v>
      </c>
      <c r="BI213">
        <v>4651</v>
      </c>
      <c r="BJ213">
        <v>4964</v>
      </c>
      <c r="BK213">
        <v>5281</v>
      </c>
      <c r="BL213">
        <v>5605</v>
      </c>
      <c r="BM213">
        <v>5925</v>
      </c>
      <c r="BN213">
        <v>6255</v>
      </c>
      <c r="BO213">
        <v>6592</v>
      </c>
      <c r="BP213">
        <v>6911</v>
      </c>
      <c r="BQ213">
        <v>7198</v>
      </c>
      <c r="BR213">
        <v>7506</v>
      </c>
      <c r="BS213">
        <v>7796</v>
      </c>
      <c r="BT213">
        <v>8035</v>
      </c>
      <c r="BU213">
        <v>8222</v>
      </c>
      <c r="BV213">
        <v>8390</v>
      </c>
      <c r="BW213">
        <v>8511</v>
      </c>
      <c r="BX213">
        <v>8589</v>
      </c>
      <c r="BY213">
        <v>8645</v>
      </c>
      <c r="BZ213">
        <v>8690</v>
      </c>
      <c r="CA213">
        <v>8725</v>
      </c>
      <c r="CB213">
        <v>8745</v>
      </c>
      <c r="CC213">
        <v>8757</v>
      </c>
      <c r="CD213">
        <v>8760</v>
      </c>
      <c r="CE213">
        <v>8760</v>
      </c>
      <c r="CF213">
        <v>8760</v>
      </c>
      <c r="CG213">
        <v>8760</v>
      </c>
      <c r="CH213">
        <v>8760</v>
      </c>
      <c r="CI213">
        <v>8760</v>
      </c>
      <c r="CJ213">
        <v>8760</v>
      </c>
      <c r="CK213">
        <v>8760</v>
      </c>
      <c r="CL213">
        <v>8760</v>
      </c>
      <c r="CM213">
        <v>8760</v>
      </c>
      <c r="CN213">
        <v>8760</v>
      </c>
      <c r="CO213">
        <v>8760</v>
      </c>
      <c r="CP213">
        <v>8760</v>
      </c>
      <c r="CQ213">
        <v>8760</v>
      </c>
      <c r="CR213">
        <v>8760</v>
      </c>
      <c r="CS213">
        <v>8760</v>
      </c>
      <c r="CT213">
        <v>8760</v>
      </c>
      <c r="CU213">
        <v>8760</v>
      </c>
      <c r="CV213">
        <v>8760</v>
      </c>
      <c r="CW213">
        <v>8760</v>
      </c>
      <c r="CX213">
        <v>8760</v>
      </c>
      <c r="CY213">
        <v>8760</v>
      </c>
      <c r="CZ213">
        <v>8760</v>
      </c>
      <c r="DA213">
        <v>8760</v>
      </c>
      <c r="DB213">
        <v>8760</v>
      </c>
    </row>
    <row r="214" spans="1:106" x14ac:dyDescent="0.25">
      <c r="A214" s="13" t="s">
        <v>231</v>
      </c>
      <c r="B214" t="s">
        <v>219</v>
      </c>
      <c r="C214" t="s">
        <v>438</v>
      </c>
      <c r="D214" t="s">
        <v>786</v>
      </c>
      <c r="E214" t="s">
        <v>787</v>
      </c>
      <c r="F214">
        <v>102240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9</v>
      </c>
      <c r="AS214">
        <v>18</v>
      </c>
      <c r="AT214">
        <v>28</v>
      </c>
      <c r="AU214">
        <v>45</v>
      </c>
      <c r="AV214">
        <v>69</v>
      </c>
      <c r="AW214">
        <v>113</v>
      </c>
      <c r="AX214">
        <v>176</v>
      </c>
      <c r="AY214">
        <v>260</v>
      </c>
      <c r="AZ214">
        <v>355</v>
      </c>
      <c r="BA214">
        <v>485</v>
      </c>
      <c r="BB214">
        <v>702</v>
      </c>
      <c r="BC214">
        <v>950</v>
      </c>
      <c r="BD214">
        <v>1291</v>
      </c>
      <c r="BE214">
        <v>1761</v>
      </c>
      <c r="BF214">
        <v>2109</v>
      </c>
      <c r="BG214">
        <v>2535</v>
      </c>
      <c r="BH214">
        <v>2916</v>
      </c>
      <c r="BI214">
        <v>3360</v>
      </c>
      <c r="BJ214">
        <v>3849</v>
      </c>
      <c r="BK214">
        <v>4236</v>
      </c>
      <c r="BL214">
        <v>4555</v>
      </c>
      <c r="BM214">
        <v>4836</v>
      </c>
      <c r="BN214">
        <v>5139</v>
      </c>
      <c r="BO214">
        <v>5537</v>
      </c>
      <c r="BP214">
        <v>5951</v>
      </c>
      <c r="BQ214">
        <v>6355</v>
      </c>
      <c r="BR214">
        <v>6758</v>
      </c>
      <c r="BS214">
        <v>7211</v>
      </c>
      <c r="BT214">
        <v>7608</v>
      </c>
      <c r="BU214">
        <v>7936</v>
      </c>
      <c r="BV214">
        <v>8168</v>
      </c>
      <c r="BW214">
        <v>8346</v>
      </c>
      <c r="BX214">
        <v>8461</v>
      </c>
      <c r="BY214">
        <v>8527</v>
      </c>
      <c r="BZ214">
        <v>8574</v>
      </c>
      <c r="CA214">
        <v>8612</v>
      </c>
      <c r="CB214">
        <v>8641</v>
      </c>
      <c r="CC214">
        <v>8669</v>
      </c>
      <c r="CD214">
        <v>8699</v>
      </c>
      <c r="CE214">
        <v>8729</v>
      </c>
      <c r="CF214">
        <v>8741</v>
      </c>
      <c r="CG214">
        <v>8756</v>
      </c>
      <c r="CH214">
        <v>8759</v>
      </c>
      <c r="CI214">
        <v>8760</v>
      </c>
      <c r="CJ214">
        <v>8760</v>
      </c>
      <c r="CK214">
        <v>8760</v>
      </c>
      <c r="CL214">
        <v>8760</v>
      </c>
      <c r="CM214">
        <v>8760</v>
      </c>
      <c r="CN214">
        <v>8760</v>
      </c>
      <c r="CO214">
        <v>8760</v>
      </c>
      <c r="CP214">
        <v>8760</v>
      </c>
      <c r="CQ214">
        <v>8760</v>
      </c>
      <c r="CR214">
        <v>8760</v>
      </c>
      <c r="CS214">
        <v>8760</v>
      </c>
      <c r="CT214">
        <v>8760</v>
      </c>
      <c r="CU214">
        <v>8760</v>
      </c>
      <c r="CV214">
        <v>8760</v>
      </c>
      <c r="CW214">
        <v>8760</v>
      </c>
      <c r="CX214">
        <v>8760</v>
      </c>
      <c r="CY214">
        <v>8760</v>
      </c>
      <c r="CZ214">
        <v>8760</v>
      </c>
      <c r="DA214">
        <v>8760</v>
      </c>
      <c r="DB214">
        <v>8760</v>
      </c>
    </row>
    <row r="215" spans="1:106" x14ac:dyDescent="0.25">
      <c r="A215" s="13" t="s">
        <v>232</v>
      </c>
      <c r="B215" t="s">
        <v>220</v>
      </c>
      <c r="C215" t="s">
        <v>438</v>
      </c>
      <c r="D215" t="s">
        <v>788</v>
      </c>
      <c r="E215" t="s">
        <v>789</v>
      </c>
      <c r="F215">
        <v>102117</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6</v>
      </c>
      <c r="AR215">
        <v>16</v>
      </c>
      <c r="AS215">
        <v>35</v>
      </c>
      <c r="AT215">
        <v>56</v>
      </c>
      <c r="AU215">
        <v>79</v>
      </c>
      <c r="AV215">
        <v>117</v>
      </c>
      <c r="AW215">
        <v>161</v>
      </c>
      <c r="AX215">
        <v>212</v>
      </c>
      <c r="AY215">
        <v>278</v>
      </c>
      <c r="AZ215">
        <v>417</v>
      </c>
      <c r="BA215">
        <v>598</v>
      </c>
      <c r="BB215">
        <v>797</v>
      </c>
      <c r="BC215">
        <v>1020</v>
      </c>
      <c r="BD215">
        <v>1317</v>
      </c>
      <c r="BE215">
        <v>1763</v>
      </c>
      <c r="BF215">
        <v>2167</v>
      </c>
      <c r="BG215">
        <v>2588</v>
      </c>
      <c r="BH215">
        <v>3129</v>
      </c>
      <c r="BI215">
        <v>3607</v>
      </c>
      <c r="BJ215">
        <v>4014</v>
      </c>
      <c r="BK215">
        <v>4347</v>
      </c>
      <c r="BL215">
        <v>4677</v>
      </c>
      <c r="BM215">
        <v>4964</v>
      </c>
      <c r="BN215">
        <v>5326</v>
      </c>
      <c r="BO215">
        <v>5682</v>
      </c>
      <c r="BP215">
        <v>6086</v>
      </c>
      <c r="BQ215">
        <v>6490</v>
      </c>
      <c r="BR215">
        <v>6845</v>
      </c>
      <c r="BS215">
        <v>7208</v>
      </c>
      <c r="BT215">
        <v>7515</v>
      </c>
      <c r="BU215">
        <v>7782</v>
      </c>
      <c r="BV215">
        <v>8001</v>
      </c>
      <c r="BW215">
        <v>8176</v>
      </c>
      <c r="BX215">
        <v>8321</v>
      </c>
      <c r="BY215">
        <v>8436</v>
      </c>
      <c r="BZ215">
        <v>8520</v>
      </c>
      <c r="CA215">
        <v>8596</v>
      </c>
      <c r="CB215">
        <v>8657</v>
      </c>
      <c r="CC215">
        <v>8691</v>
      </c>
      <c r="CD215">
        <v>8718</v>
      </c>
      <c r="CE215">
        <v>8737</v>
      </c>
      <c r="CF215">
        <v>8749</v>
      </c>
      <c r="CG215">
        <v>8758</v>
      </c>
      <c r="CH215">
        <v>8760</v>
      </c>
      <c r="CI215">
        <v>8760</v>
      </c>
      <c r="CJ215">
        <v>8760</v>
      </c>
      <c r="CK215">
        <v>8760</v>
      </c>
      <c r="CL215">
        <v>8760</v>
      </c>
      <c r="CM215">
        <v>8760</v>
      </c>
      <c r="CN215">
        <v>8760</v>
      </c>
      <c r="CO215">
        <v>8760</v>
      </c>
      <c r="CP215">
        <v>8760</v>
      </c>
      <c r="CQ215">
        <v>8760</v>
      </c>
      <c r="CR215">
        <v>8760</v>
      </c>
      <c r="CS215">
        <v>8760</v>
      </c>
      <c r="CT215">
        <v>8760</v>
      </c>
      <c r="CU215">
        <v>8760</v>
      </c>
      <c r="CV215">
        <v>8760</v>
      </c>
      <c r="CW215">
        <v>8760</v>
      </c>
      <c r="CX215">
        <v>8760</v>
      </c>
      <c r="CY215">
        <v>8760</v>
      </c>
      <c r="CZ215">
        <v>8760</v>
      </c>
      <c r="DA215">
        <v>8760</v>
      </c>
      <c r="DB215">
        <v>8760</v>
      </c>
    </row>
    <row r="216" spans="1:106" x14ac:dyDescent="0.25">
      <c r="A216" s="13" t="s">
        <v>233</v>
      </c>
      <c r="B216" t="s">
        <v>221</v>
      </c>
      <c r="C216" t="s">
        <v>438</v>
      </c>
      <c r="D216" t="s">
        <v>790</v>
      </c>
      <c r="E216" t="s">
        <v>791</v>
      </c>
      <c r="F216">
        <v>102325</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8</v>
      </c>
      <c r="AP216">
        <v>23</v>
      </c>
      <c r="AQ216">
        <v>32</v>
      </c>
      <c r="AR216">
        <v>49</v>
      </c>
      <c r="AS216">
        <v>70</v>
      </c>
      <c r="AT216">
        <v>89</v>
      </c>
      <c r="AU216">
        <v>124</v>
      </c>
      <c r="AV216">
        <v>182</v>
      </c>
      <c r="AW216">
        <v>254</v>
      </c>
      <c r="AX216">
        <v>346</v>
      </c>
      <c r="AY216">
        <v>444</v>
      </c>
      <c r="AZ216">
        <v>570</v>
      </c>
      <c r="BA216">
        <v>749</v>
      </c>
      <c r="BB216">
        <v>1005</v>
      </c>
      <c r="BC216">
        <v>1266</v>
      </c>
      <c r="BD216">
        <v>1649</v>
      </c>
      <c r="BE216">
        <v>2047</v>
      </c>
      <c r="BF216">
        <v>2472</v>
      </c>
      <c r="BG216">
        <v>2877</v>
      </c>
      <c r="BH216">
        <v>3321</v>
      </c>
      <c r="BI216">
        <v>3785</v>
      </c>
      <c r="BJ216">
        <v>4157</v>
      </c>
      <c r="BK216">
        <v>4460</v>
      </c>
      <c r="BL216">
        <v>4744</v>
      </c>
      <c r="BM216">
        <v>5002</v>
      </c>
      <c r="BN216">
        <v>5307</v>
      </c>
      <c r="BO216">
        <v>5635</v>
      </c>
      <c r="BP216">
        <v>5972</v>
      </c>
      <c r="BQ216">
        <v>6303</v>
      </c>
      <c r="BR216">
        <v>6658</v>
      </c>
      <c r="BS216">
        <v>6993</v>
      </c>
      <c r="BT216">
        <v>7313</v>
      </c>
      <c r="BU216">
        <v>7566</v>
      </c>
      <c r="BV216">
        <v>7809</v>
      </c>
      <c r="BW216">
        <v>8010</v>
      </c>
      <c r="BX216">
        <v>8164</v>
      </c>
      <c r="BY216">
        <v>8303</v>
      </c>
      <c r="BZ216">
        <v>8431</v>
      </c>
      <c r="CA216">
        <v>8532</v>
      </c>
      <c r="CB216">
        <v>8615</v>
      </c>
      <c r="CC216">
        <v>8674</v>
      </c>
      <c r="CD216">
        <v>8724</v>
      </c>
      <c r="CE216">
        <v>8750</v>
      </c>
      <c r="CF216">
        <v>8759</v>
      </c>
      <c r="CG216">
        <v>8760</v>
      </c>
      <c r="CH216">
        <v>8760</v>
      </c>
      <c r="CI216">
        <v>8760</v>
      </c>
      <c r="CJ216">
        <v>8760</v>
      </c>
      <c r="CK216">
        <v>8760</v>
      </c>
      <c r="CL216">
        <v>8760</v>
      </c>
      <c r="CM216">
        <v>8760</v>
      </c>
      <c r="CN216">
        <v>8760</v>
      </c>
      <c r="CO216">
        <v>8760</v>
      </c>
      <c r="CP216">
        <v>8760</v>
      </c>
      <c r="CQ216">
        <v>8760</v>
      </c>
      <c r="CR216">
        <v>8760</v>
      </c>
      <c r="CS216">
        <v>8760</v>
      </c>
      <c r="CT216">
        <v>8760</v>
      </c>
      <c r="CU216">
        <v>8760</v>
      </c>
      <c r="CV216">
        <v>8760</v>
      </c>
      <c r="CW216">
        <v>8760</v>
      </c>
      <c r="CX216">
        <v>8760</v>
      </c>
      <c r="CY216">
        <v>8760</v>
      </c>
      <c r="CZ216">
        <v>8760</v>
      </c>
      <c r="DA216">
        <v>8760</v>
      </c>
      <c r="DB216">
        <v>8760</v>
      </c>
    </row>
    <row r="217" spans="1:106" x14ac:dyDescent="0.25">
      <c r="A217" s="13" t="s">
        <v>234</v>
      </c>
      <c r="B217" t="s">
        <v>408</v>
      </c>
      <c r="C217" t="s">
        <v>438</v>
      </c>
      <c r="D217" t="s">
        <v>792</v>
      </c>
      <c r="E217" t="s">
        <v>793</v>
      </c>
      <c r="F217">
        <v>102414</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2</v>
      </c>
      <c r="AR217">
        <v>5</v>
      </c>
      <c r="AS217">
        <v>22</v>
      </c>
      <c r="AT217">
        <v>54</v>
      </c>
      <c r="AU217">
        <v>91</v>
      </c>
      <c r="AV217">
        <v>138</v>
      </c>
      <c r="AW217">
        <v>215</v>
      </c>
      <c r="AX217">
        <v>319</v>
      </c>
      <c r="AY217">
        <v>427</v>
      </c>
      <c r="AZ217">
        <v>565</v>
      </c>
      <c r="BA217">
        <v>702</v>
      </c>
      <c r="BB217">
        <v>909</v>
      </c>
      <c r="BC217">
        <v>1146</v>
      </c>
      <c r="BD217">
        <v>1403</v>
      </c>
      <c r="BE217">
        <v>1790</v>
      </c>
      <c r="BF217">
        <v>2279</v>
      </c>
      <c r="BG217">
        <v>2754</v>
      </c>
      <c r="BH217">
        <v>3212</v>
      </c>
      <c r="BI217">
        <v>3608</v>
      </c>
      <c r="BJ217">
        <v>3981</v>
      </c>
      <c r="BK217">
        <v>4356</v>
      </c>
      <c r="BL217">
        <v>4729</v>
      </c>
      <c r="BM217">
        <v>5110</v>
      </c>
      <c r="BN217">
        <v>5419</v>
      </c>
      <c r="BO217">
        <v>5747</v>
      </c>
      <c r="BP217">
        <v>6076</v>
      </c>
      <c r="BQ217">
        <v>6431</v>
      </c>
      <c r="BR217">
        <v>6811</v>
      </c>
      <c r="BS217">
        <v>7148</v>
      </c>
      <c r="BT217">
        <v>7469</v>
      </c>
      <c r="BU217">
        <v>7758</v>
      </c>
      <c r="BV217">
        <v>8005</v>
      </c>
      <c r="BW217">
        <v>8212</v>
      </c>
      <c r="BX217">
        <v>8389</v>
      </c>
      <c r="BY217">
        <v>8516</v>
      </c>
      <c r="BZ217">
        <v>8608</v>
      </c>
      <c r="CA217">
        <v>8654</v>
      </c>
      <c r="CB217">
        <v>8709</v>
      </c>
      <c r="CC217">
        <v>8743</v>
      </c>
      <c r="CD217">
        <v>8756</v>
      </c>
      <c r="CE217">
        <v>8760</v>
      </c>
      <c r="CF217">
        <v>8760</v>
      </c>
      <c r="CG217">
        <v>8760</v>
      </c>
      <c r="CH217">
        <v>8760</v>
      </c>
      <c r="CI217">
        <v>8760</v>
      </c>
      <c r="CJ217">
        <v>8760</v>
      </c>
      <c r="CK217">
        <v>8760</v>
      </c>
      <c r="CL217">
        <v>8760</v>
      </c>
      <c r="CM217">
        <v>8760</v>
      </c>
      <c r="CN217">
        <v>8760</v>
      </c>
      <c r="CO217">
        <v>8760</v>
      </c>
      <c r="CP217">
        <v>8760</v>
      </c>
      <c r="CQ217">
        <v>8760</v>
      </c>
      <c r="CR217">
        <v>8760</v>
      </c>
      <c r="CS217">
        <v>8760</v>
      </c>
      <c r="CT217">
        <v>8760</v>
      </c>
      <c r="CU217">
        <v>8760</v>
      </c>
      <c r="CV217">
        <v>8760</v>
      </c>
      <c r="CW217">
        <v>8760</v>
      </c>
      <c r="CX217">
        <v>8760</v>
      </c>
      <c r="CY217">
        <v>8760</v>
      </c>
      <c r="CZ217">
        <v>8760</v>
      </c>
      <c r="DA217">
        <v>8760</v>
      </c>
      <c r="DB217">
        <v>8760</v>
      </c>
    </row>
    <row r="218" spans="1:106" x14ac:dyDescent="0.25">
      <c r="A218" s="13" t="s">
        <v>235</v>
      </c>
      <c r="B218" t="s">
        <v>229</v>
      </c>
      <c r="C218" t="s">
        <v>438</v>
      </c>
      <c r="D218" t="s">
        <v>794</v>
      </c>
      <c r="E218" t="s">
        <v>795</v>
      </c>
      <c r="F218">
        <v>102013</v>
      </c>
      <c r="G218">
        <v>0</v>
      </c>
      <c r="H218">
        <v>0</v>
      </c>
      <c r="I218">
        <v>0</v>
      </c>
      <c r="J218">
        <v>0</v>
      </c>
      <c r="K218">
        <v>0</v>
      </c>
      <c r="L218">
        <v>0</v>
      </c>
      <c r="M218">
        <v>0</v>
      </c>
      <c r="N218">
        <v>0</v>
      </c>
      <c r="O218">
        <v>0</v>
      </c>
      <c r="P218">
        <v>0</v>
      </c>
      <c r="Q218">
        <v>0</v>
      </c>
      <c r="R218">
        <v>0</v>
      </c>
      <c r="S218">
        <v>0</v>
      </c>
      <c r="T218">
        <v>0</v>
      </c>
      <c r="U218">
        <v>0</v>
      </c>
      <c r="V218">
        <v>0</v>
      </c>
      <c r="W218">
        <v>0</v>
      </c>
      <c r="X218">
        <v>0</v>
      </c>
      <c r="Y218">
        <v>0</v>
      </c>
      <c r="Z218">
        <v>5</v>
      </c>
      <c r="AA218">
        <v>8</v>
      </c>
      <c r="AB218">
        <v>40</v>
      </c>
      <c r="AC218">
        <v>63</v>
      </c>
      <c r="AD218">
        <v>112</v>
      </c>
      <c r="AE218">
        <v>188</v>
      </c>
      <c r="AF218">
        <v>224</v>
      </c>
      <c r="AG218">
        <v>283</v>
      </c>
      <c r="AH218">
        <v>339</v>
      </c>
      <c r="AI218">
        <v>383</v>
      </c>
      <c r="AJ218">
        <v>445</v>
      </c>
      <c r="AK218">
        <v>531</v>
      </c>
      <c r="AL218">
        <v>615</v>
      </c>
      <c r="AM218">
        <v>714</v>
      </c>
      <c r="AN218">
        <v>804</v>
      </c>
      <c r="AO218">
        <v>906</v>
      </c>
      <c r="AP218">
        <v>1025</v>
      </c>
      <c r="AQ218">
        <v>1160</v>
      </c>
      <c r="AR218">
        <v>1309</v>
      </c>
      <c r="AS218">
        <v>1443</v>
      </c>
      <c r="AT218">
        <v>1648</v>
      </c>
      <c r="AU218">
        <v>1861</v>
      </c>
      <c r="AV218">
        <v>2084</v>
      </c>
      <c r="AW218">
        <v>2287</v>
      </c>
      <c r="AX218">
        <v>2528</v>
      </c>
      <c r="AY218">
        <v>2732</v>
      </c>
      <c r="AZ218">
        <v>2953</v>
      </c>
      <c r="BA218">
        <v>3160</v>
      </c>
      <c r="BB218">
        <v>3386</v>
      </c>
      <c r="BC218">
        <v>3646</v>
      </c>
      <c r="BD218">
        <v>3977</v>
      </c>
      <c r="BE218">
        <v>4395</v>
      </c>
      <c r="BF218">
        <v>4709</v>
      </c>
      <c r="BG218">
        <v>4987</v>
      </c>
      <c r="BH218">
        <v>5248</v>
      </c>
      <c r="BI218">
        <v>5509</v>
      </c>
      <c r="BJ218">
        <v>5776</v>
      </c>
      <c r="BK218">
        <v>6025</v>
      </c>
      <c r="BL218">
        <v>6307</v>
      </c>
      <c r="BM218">
        <v>6544</v>
      </c>
      <c r="BN218">
        <v>6779</v>
      </c>
      <c r="BO218">
        <v>7023</v>
      </c>
      <c r="BP218">
        <v>7270</v>
      </c>
      <c r="BQ218">
        <v>7484</v>
      </c>
      <c r="BR218">
        <v>7685</v>
      </c>
      <c r="BS218">
        <v>7874</v>
      </c>
      <c r="BT218">
        <v>8031</v>
      </c>
      <c r="BU218">
        <v>8170</v>
      </c>
      <c r="BV218">
        <v>8288</v>
      </c>
      <c r="BW218">
        <v>8401</v>
      </c>
      <c r="BX218">
        <v>8475</v>
      </c>
      <c r="BY218">
        <v>8543</v>
      </c>
      <c r="BZ218">
        <v>8605</v>
      </c>
      <c r="CA218">
        <v>8663</v>
      </c>
      <c r="CB218">
        <v>8719</v>
      </c>
      <c r="CC218">
        <v>8746</v>
      </c>
      <c r="CD218">
        <v>8759</v>
      </c>
      <c r="CE218">
        <v>8760</v>
      </c>
      <c r="CF218">
        <v>8760</v>
      </c>
      <c r="CG218">
        <v>8760</v>
      </c>
      <c r="CH218">
        <v>8760</v>
      </c>
      <c r="CI218">
        <v>8760</v>
      </c>
      <c r="CJ218">
        <v>8760</v>
      </c>
      <c r="CK218">
        <v>8760</v>
      </c>
      <c r="CL218">
        <v>8760</v>
      </c>
      <c r="CM218">
        <v>8760</v>
      </c>
      <c r="CN218">
        <v>8760</v>
      </c>
      <c r="CO218">
        <v>8760</v>
      </c>
      <c r="CP218">
        <v>8760</v>
      </c>
      <c r="CQ218">
        <v>8760</v>
      </c>
      <c r="CR218">
        <v>8760</v>
      </c>
      <c r="CS218">
        <v>8760</v>
      </c>
      <c r="CT218">
        <v>8760</v>
      </c>
      <c r="CU218">
        <v>8760</v>
      </c>
      <c r="CV218">
        <v>8760</v>
      </c>
      <c r="CW218">
        <v>8760</v>
      </c>
      <c r="CX218">
        <v>8760</v>
      </c>
      <c r="CY218">
        <v>8760</v>
      </c>
      <c r="CZ218">
        <v>8760</v>
      </c>
      <c r="DA218">
        <v>8760</v>
      </c>
      <c r="DB218">
        <v>8760</v>
      </c>
    </row>
    <row r="219" spans="1:106" x14ac:dyDescent="0.25">
      <c r="A219" s="13" t="s">
        <v>236</v>
      </c>
      <c r="B219" t="s">
        <v>230</v>
      </c>
      <c r="C219" t="s">
        <v>438</v>
      </c>
      <c r="D219" t="s">
        <v>796</v>
      </c>
      <c r="E219" t="s">
        <v>797</v>
      </c>
      <c r="F219">
        <v>102238</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7</v>
      </c>
      <c r="AP219">
        <v>9</v>
      </c>
      <c r="AQ219">
        <v>10</v>
      </c>
      <c r="AR219">
        <v>12</v>
      </c>
      <c r="AS219">
        <v>16</v>
      </c>
      <c r="AT219">
        <v>46</v>
      </c>
      <c r="AU219">
        <v>62</v>
      </c>
      <c r="AV219">
        <v>85</v>
      </c>
      <c r="AW219">
        <v>120</v>
      </c>
      <c r="AX219">
        <v>166</v>
      </c>
      <c r="AY219">
        <v>231</v>
      </c>
      <c r="AZ219">
        <v>322</v>
      </c>
      <c r="BA219">
        <v>435</v>
      </c>
      <c r="BB219">
        <v>629</v>
      </c>
      <c r="BC219">
        <v>872</v>
      </c>
      <c r="BD219">
        <v>1162</v>
      </c>
      <c r="BE219">
        <v>1511</v>
      </c>
      <c r="BF219">
        <v>1939</v>
      </c>
      <c r="BG219">
        <v>2372</v>
      </c>
      <c r="BH219">
        <v>2790</v>
      </c>
      <c r="BI219">
        <v>3188</v>
      </c>
      <c r="BJ219">
        <v>3644</v>
      </c>
      <c r="BK219">
        <v>4134</v>
      </c>
      <c r="BL219">
        <v>4539</v>
      </c>
      <c r="BM219">
        <v>4896</v>
      </c>
      <c r="BN219">
        <v>5299</v>
      </c>
      <c r="BO219">
        <v>5730</v>
      </c>
      <c r="BP219">
        <v>6102</v>
      </c>
      <c r="BQ219">
        <v>6496</v>
      </c>
      <c r="BR219">
        <v>6856</v>
      </c>
      <c r="BS219">
        <v>7246</v>
      </c>
      <c r="BT219">
        <v>7628</v>
      </c>
      <c r="BU219">
        <v>7904</v>
      </c>
      <c r="BV219">
        <v>8141</v>
      </c>
      <c r="BW219">
        <v>8333</v>
      </c>
      <c r="BX219">
        <v>8438</v>
      </c>
      <c r="BY219">
        <v>8528</v>
      </c>
      <c r="BZ219">
        <v>8585</v>
      </c>
      <c r="CA219">
        <v>8646</v>
      </c>
      <c r="CB219">
        <v>8687</v>
      </c>
      <c r="CC219">
        <v>8710</v>
      </c>
      <c r="CD219">
        <v>8731</v>
      </c>
      <c r="CE219">
        <v>8744</v>
      </c>
      <c r="CF219">
        <v>8753</v>
      </c>
      <c r="CG219">
        <v>8759</v>
      </c>
      <c r="CH219">
        <v>8760</v>
      </c>
      <c r="CI219">
        <v>8760</v>
      </c>
      <c r="CJ219">
        <v>8760</v>
      </c>
      <c r="CK219">
        <v>8760</v>
      </c>
      <c r="CL219">
        <v>8760</v>
      </c>
      <c r="CM219">
        <v>8760</v>
      </c>
      <c r="CN219">
        <v>8760</v>
      </c>
      <c r="CO219">
        <v>8760</v>
      </c>
      <c r="CP219">
        <v>8760</v>
      </c>
      <c r="CQ219">
        <v>8760</v>
      </c>
      <c r="CR219">
        <v>8760</v>
      </c>
      <c r="CS219">
        <v>8760</v>
      </c>
      <c r="CT219">
        <v>8760</v>
      </c>
      <c r="CU219">
        <v>8760</v>
      </c>
      <c r="CV219">
        <v>8760</v>
      </c>
      <c r="CW219">
        <v>8760</v>
      </c>
      <c r="CX219">
        <v>8760</v>
      </c>
      <c r="CY219">
        <v>8760</v>
      </c>
      <c r="CZ219">
        <v>8760</v>
      </c>
      <c r="DA219">
        <v>8760</v>
      </c>
      <c r="DB219">
        <v>8760</v>
      </c>
    </row>
    <row r="220" spans="1:106" x14ac:dyDescent="0.25">
      <c r="A220" s="13" t="s">
        <v>237</v>
      </c>
      <c r="B220" t="s">
        <v>409</v>
      </c>
      <c r="C220" t="s">
        <v>438</v>
      </c>
      <c r="D220" t="s">
        <v>798</v>
      </c>
      <c r="E220" t="s">
        <v>799</v>
      </c>
      <c r="F220">
        <v>102139</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1</v>
      </c>
      <c r="AP220">
        <v>4</v>
      </c>
      <c r="AQ220">
        <v>11</v>
      </c>
      <c r="AR220">
        <v>29</v>
      </c>
      <c r="AS220">
        <v>49</v>
      </c>
      <c r="AT220">
        <v>79</v>
      </c>
      <c r="AU220">
        <v>118</v>
      </c>
      <c r="AV220">
        <v>148</v>
      </c>
      <c r="AW220">
        <v>218</v>
      </c>
      <c r="AX220">
        <v>298</v>
      </c>
      <c r="AY220">
        <v>383</v>
      </c>
      <c r="AZ220">
        <v>486</v>
      </c>
      <c r="BA220">
        <v>640</v>
      </c>
      <c r="BB220">
        <v>898</v>
      </c>
      <c r="BC220">
        <v>1165</v>
      </c>
      <c r="BD220">
        <v>1511</v>
      </c>
      <c r="BE220">
        <v>1963</v>
      </c>
      <c r="BF220">
        <v>2346</v>
      </c>
      <c r="BG220">
        <v>2838</v>
      </c>
      <c r="BH220">
        <v>3375</v>
      </c>
      <c r="BI220">
        <v>3841</v>
      </c>
      <c r="BJ220">
        <v>4161</v>
      </c>
      <c r="BK220">
        <v>4394</v>
      </c>
      <c r="BL220">
        <v>4647</v>
      </c>
      <c r="BM220">
        <v>4911</v>
      </c>
      <c r="BN220">
        <v>5230</v>
      </c>
      <c r="BO220">
        <v>5604</v>
      </c>
      <c r="BP220">
        <v>6038</v>
      </c>
      <c r="BQ220">
        <v>6492</v>
      </c>
      <c r="BR220">
        <v>6880</v>
      </c>
      <c r="BS220">
        <v>7248</v>
      </c>
      <c r="BT220">
        <v>7581</v>
      </c>
      <c r="BU220">
        <v>7863</v>
      </c>
      <c r="BV220">
        <v>8049</v>
      </c>
      <c r="BW220">
        <v>8204</v>
      </c>
      <c r="BX220">
        <v>8333</v>
      </c>
      <c r="BY220">
        <v>8429</v>
      </c>
      <c r="BZ220">
        <v>8511</v>
      </c>
      <c r="CA220">
        <v>8575</v>
      </c>
      <c r="CB220">
        <v>8625</v>
      </c>
      <c r="CC220">
        <v>8669</v>
      </c>
      <c r="CD220">
        <v>8693</v>
      </c>
      <c r="CE220">
        <v>8716</v>
      </c>
      <c r="CF220">
        <v>8732</v>
      </c>
      <c r="CG220">
        <v>8741</v>
      </c>
      <c r="CH220">
        <v>8756</v>
      </c>
      <c r="CI220">
        <v>8760</v>
      </c>
      <c r="CJ220">
        <v>8760</v>
      </c>
      <c r="CK220">
        <v>8760</v>
      </c>
      <c r="CL220">
        <v>8760</v>
      </c>
      <c r="CM220">
        <v>8760</v>
      </c>
      <c r="CN220">
        <v>8760</v>
      </c>
      <c r="CO220">
        <v>8760</v>
      </c>
      <c r="CP220">
        <v>8760</v>
      </c>
      <c r="CQ220">
        <v>8760</v>
      </c>
      <c r="CR220">
        <v>8760</v>
      </c>
      <c r="CS220">
        <v>8760</v>
      </c>
      <c r="CT220">
        <v>8760</v>
      </c>
      <c r="CU220">
        <v>8760</v>
      </c>
      <c r="CV220">
        <v>8760</v>
      </c>
      <c r="CW220">
        <v>8760</v>
      </c>
      <c r="CX220">
        <v>8760</v>
      </c>
      <c r="CY220">
        <v>8760</v>
      </c>
      <c r="CZ220">
        <v>8760</v>
      </c>
      <c r="DA220">
        <v>8760</v>
      </c>
      <c r="DB220">
        <v>8760</v>
      </c>
    </row>
    <row r="221" spans="1:106" x14ac:dyDescent="0.25">
      <c r="A221" s="13" t="s">
        <v>238</v>
      </c>
      <c r="B221" t="s">
        <v>410</v>
      </c>
      <c r="C221" t="s">
        <v>438</v>
      </c>
      <c r="D221" t="s">
        <v>800</v>
      </c>
      <c r="E221" t="s">
        <v>801</v>
      </c>
      <c r="F221">
        <v>102004</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2</v>
      </c>
      <c r="AB221">
        <v>8</v>
      </c>
      <c r="AC221">
        <v>15</v>
      </c>
      <c r="AD221">
        <v>26</v>
      </c>
      <c r="AE221">
        <v>37</v>
      </c>
      <c r="AF221">
        <v>52</v>
      </c>
      <c r="AG221">
        <v>65</v>
      </c>
      <c r="AH221">
        <v>94</v>
      </c>
      <c r="AI221">
        <v>126</v>
      </c>
      <c r="AJ221">
        <v>175</v>
      </c>
      <c r="AK221">
        <v>232</v>
      </c>
      <c r="AL221">
        <v>313</v>
      </c>
      <c r="AM221">
        <v>388</v>
      </c>
      <c r="AN221">
        <v>437</v>
      </c>
      <c r="AO221">
        <v>496</v>
      </c>
      <c r="AP221">
        <v>582</v>
      </c>
      <c r="AQ221">
        <v>649</v>
      </c>
      <c r="AR221">
        <v>728</v>
      </c>
      <c r="AS221">
        <v>805</v>
      </c>
      <c r="AT221">
        <v>901</v>
      </c>
      <c r="AU221">
        <v>1031</v>
      </c>
      <c r="AV221">
        <v>1134</v>
      </c>
      <c r="AW221">
        <v>1289</v>
      </c>
      <c r="AX221">
        <v>1473</v>
      </c>
      <c r="AY221">
        <v>1686</v>
      </c>
      <c r="AZ221">
        <v>1964</v>
      </c>
      <c r="BA221">
        <v>2262</v>
      </c>
      <c r="BB221">
        <v>2599</v>
      </c>
      <c r="BC221">
        <v>2931</v>
      </c>
      <c r="BD221">
        <v>3270</v>
      </c>
      <c r="BE221">
        <v>3704</v>
      </c>
      <c r="BF221">
        <v>4031</v>
      </c>
      <c r="BG221">
        <v>4320</v>
      </c>
      <c r="BH221">
        <v>4613</v>
      </c>
      <c r="BI221">
        <v>4900</v>
      </c>
      <c r="BJ221">
        <v>5112</v>
      </c>
      <c r="BK221">
        <v>5337</v>
      </c>
      <c r="BL221">
        <v>5649</v>
      </c>
      <c r="BM221">
        <v>5925</v>
      </c>
      <c r="BN221">
        <v>6226</v>
      </c>
      <c r="BO221">
        <v>6524</v>
      </c>
      <c r="BP221">
        <v>6854</v>
      </c>
      <c r="BQ221">
        <v>7193</v>
      </c>
      <c r="BR221">
        <v>7512</v>
      </c>
      <c r="BS221">
        <v>7812</v>
      </c>
      <c r="BT221">
        <v>8109</v>
      </c>
      <c r="BU221">
        <v>8304</v>
      </c>
      <c r="BV221">
        <v>8451</v>
      </c>
      <c r="BW221">
        <v>8539</v>
      </c>
      <c r="BX221">
        <v>8622</v>
      </c>
      <c r="BY221">
        <v>8677</v>
      </c>
      <c r="BZ221">
        <v>8710</v>
      </c>
      <c r="CA221">
        <v>8740</v>
      </c>
      <c r="CB221">
        <v>8756</v>
      </c>
      <c r="CC221">
        <v>8760</v>
      </c>
      <c r="CD221">
        <v>8760</v>
      </c>
      <c r="CE221">
        <v>8760</v>
      </c>
      <c r="CF221">
        <v>8760</v>
      </c>
      <c r="CG221">
        <v>8760</v>
      </c>
      <c r="CH221">
        <v>8760</v>
      </c>
      <c r="CI221">
        <v>8760</v>
      </c>
      <c r="CJ221">
        <v>8760</v>
      </c>
      <c r="CK221">
        <v>8760</v>
      </c>
      <c r="CL221">
        <v>8760</v>
      </c>
      <c r="CM221">
        <v>8760</v>
      </c>
      <c r="CN221">
        <v>8760</v>
      </c>
      <c r="CO221">
        <v>8760</v>
      </c>
      <c r="CP221">
        <v>8760</v>
      </c>
      <c r="CQ221">
        <v>8760</v>
      </c>
      <c r="CR221">
        <v>8760</v>
      </c>
      <c r="CS221">
        <v>8760</v>
      </c>
      <c r="CT221">
        <v>8760</v>
      </c>
      <c r="CU221">
        <v>8760</v>
      </c>
      <c r="CV221">
        <v>8760</v>
      </c>
      <c r="CW221">
        <v>8760</v>
      </c>
      <c r="CX221">
        <v>8760</v>
      </c>
      <c r="CY221">
        <v>8760</v>
      </c>
      <c r="CZ221">
        <v>8760</v>
      </c>
      <c r="DA221">
        <v>8760</v>
      </c>
      <c r="DB221">
        <v>8760</v>
      </c>
    </row>
    <row r="222" spans="1:106" x14ac:dyDescent="0.25">
      <c r="A222" s="13" t="s">
        <v>239</v>
      </c>
      <c r="B222" t="s">
        <v>233</v>
      </c>
      <c r="C222" t="s">
        <v>438</v>
      </c>
      <c r="D222" t="s">
        <v>802</v>
      </c>
      <c r="E222" t="s">
        <v>803</v>
      </c>
      <c r="F222">
        <v>102011</v>
      </c>
      <c r="G222">
        <v>0</v>
      </c>
      <c r="H222">
        <v>0</v>
      </c>
      <c r="I222">
        <v>0</v>
      </c>
      <c r="J222">
        <v>0</v>
      </c>
      <c r="K222">
        <v>0</v>
      </c>
      <c r="L222">
        <v>0</v>
      </c>
      <c r="M222">
        <v>0</v>
      </c>
      <c r="N222">
        <v>0</v>
      </c>
      <c r="O222">
        <v>0</v>
      </c>
      <c r="P222">
        <v>0</v>
      </c>
      <c r="Q222">
        <v>0</v>
      </c>
      <c r="R222">
        <v>0</v>
      </c>
      <c r="S222">
        <v>0</v>
      </c>
      <c r="T222">
        <v>0</v>
      </c>
      <c r="U222">
        <v>0</v>
      </c>
      <c r="V222">
        <v>0</v>
      </c>
      <c r="W222">
        <v>4</v>
      </c>
      <c r="X222">
        <v>8</v>
      </c>
      <c r="Y222">
        <v>11</v>
      </c>
      <c r="Z222">
        <v>20</v>
      </c>
      <c r="AA222">
        <v>26</v>
      </c>
      <c r="AB222">
        <v>32</v>
      </c>
      <c r="AC222">
        <v>36</v>
      </c>
      <c r="AD222">
        <v>44</v>
      </c>
      <c r="AE222">
        <v>64</v>
      </c>
      <c r="AF222">
        <v>99</v>
      </c>
      <c r="AG222">
        <v>121</v>
      </c>
      <c r="AH222">
        <v>153</v>
      </c>
      <c r="AI222">
        <v>195</v>
      </c>
      <c r="AJ222">
        <v>249</v>
      </c>
      <c r="AK222">
        <v>313</v>
      </c>
      <c r="AL222">
        <v>372</v>
      </c>
      <c r="AM222">
        <v>436</v>
      </c>
      <c r="AN222">
        <v>516</v>
      </c>
      <c r="AO222">
        <v>623</v>
      </c>
      <c r="AP222">
        <v>780</v>
      </c>
      <c r="AQ222">
        <v>940</v>
      </c>
      <c r="AR222">
        <v>1069</v>
      </c>
      <c r="AS222">
        <v>1191</v>
      </c>
      <c r="AT222">
        <v>1334</v>
      </c>
      <c r="AU222">
        <v>1506</v>
      </c>
      <c r="AV222">
        <v>1716</v>
      </c>
      <c r="AW222">
        <v>1978</v>
      </c>
      <c r="AX222">
        <v>2270</v>
      </c>
      <c r="AY222">
        <v>2645</v>
      </c>
      <c r="AZ222">
        <v>3027</v>
      </c>
      <c r="BA222">
        <v>3417</v>
      </c>
      <c r="BB222">
        <v>3810</v>
      </c>
      <c r="BC222">
        <v>4151</v>
      </c>
      <c r="BD222">
        <v>4478</v>
      </c>
      <c r="BE222">
        <v>4851</v>
      </c>
      <c r="BF222">
        <v>5175</v>
      </c>
      <c r="BG222">
        <v>5534</v>
      </c>
      <c r="BH222">
        <v>5910</v>
      </c>
      <c r="BI222">
        <v>6227</v>
      </c>
      <c r="BJ222">
        <v>6566</v>
      </c>
      <c r="BK222">
        <v>6899</v>
      </c>
      <c r="BL222">
        <v>7204</v>
      </c>
      <c r="BM222">
        <v>7494</v>
      </c>
      <c r="BN222">
        <v>7725</v>
      </c>
      <c r="BO222">
        <v>7949</v>
      </c>
      <c r="BP222">
        <v>8136</v>
      </c>
      <c r="BQ222">
        <v>8314</v>
      </c>
      <c r="BR222">
        <v>8443</v>
      </c>
      <c r="BS222">
        <v>8529</v>
      </c>
      <c r="BT222">
        <v>8598</v>
      </c>
      <c r="BU222">
        <v>8639</v>
      </c>
      <c r="BV222">
        <v>8675</v>
      </c>
      <c r="BW222">
        <v>8704</v>
      </c>
      <c r="BX222">
        <v>8728</v>
      </c>
      <c r="BY222">
        <v>8751</v>
      </c>
      <c r="BZ222">
        <v>8759</v>
      </c>
      <c r="CA222">
        <v>8760</v>
      </c>
      <c r="CB222">
        <v>8760</v>
      </c>
      <c r="CC222">
        <v>8760</v>
      </c>
      <c r="CD222">
        <v>8760</v>
      </c>
      <c r="CE222">
        <v>8760</v>
      </c>
      <c r="CF222">
        <v>8760</v>
      </c>
      <c r="CG222">
        <v>8760</v>
      </c>
      <c r="CH222">
        <v>8760</v>
      </c>
      <c r="CI222">
        <v>8760</v>
      </c>
      <c r="CJ222">
        <v>8760</v>
      </c>
      <c r="CK222">
        <v>8760</v>
      </c>
      <c r="CL222">
        <v>8760</v>
      </c>
      <c r="CM222">
        <v>8760</v>
      </c>
      <c r="CN222">
        <v>8760</v>
      </c>
      <c r="CO222">
        <v>8760</v>
      </c>
      <c r="CP222">
        <v>8760</v>
      </c>
      <c r="CQ222">
        <v>8760</v>
      </c>
      <c r="CR222">
        <v>8760</v>
      </c>
      <c r="CS222">
        <v>8760</v>
      </c>
      <c r="CT222">
        <v>8760</v>
      </c>
      <c r="CU222">
        <v>8760</v>
      </c>
      <c r="CV222">
        <v>8760</v>
      </c>
      <c r="CW222">
        <v>8760</v>
      </c>
      <c r="CX222">
        <v>8760</v>
      </c>
      <c r="CY222">
        <v>8760</v>
      </c>
      <c r="CZ222">
        <v>8760</v>
      </c>
      <c r="DA222">
        <v>8760</v>
      </c>
      <c r="DB222">
        <v>8760</v>
      </c>
    </row>
    <row r="223" spans="1:106" x14ac:dyDescent="0.25">
      <c r="A223" s="13" t="s">
        <v>240</v>
      </c>
      <c r="B223" t="s">
        <v>234</v>
      </c>
      <c r="C223" t="s">
        <v>438</v>
      </c>
      <c r="D223" t="s">
        <v>804</v>
      </c>
      <c r="E223" t="s">
        <v>805</v>
      </c>
      <c r="F223">
        <v>102913</v>
      </c>
      <c r="G223">
        <v>0</v>
      </c>
      <c r="H223">
        <v>0</v>
      </c>
      <c r="I223">
        <v>0</v>
      </c>
      <c r="J223">
        <v>0</v>
      </c>
      <c r="K223">
        <v>0</v>
      </c>
      <c r="L223">
        <v>0</v>
      </c>
      <c r="M223">
        <v>0</v>
      </c>
      <c r="N223">
        <v>0</v>
      </c>
      <c r="O223">
        <v>0</v>
      </c>
      <c r="P223">
        <v>0</v>
      </c>
      <c r="Q223">
        <v>0</v>
      </c>
      <c r="R223">
        <v>0</v>
      </c>
      <c r="S223">
        <v>0</v>
      </c>
      <c r="T223">
        <v>0</v>
      </c>
      <c r="U223">
        <v>0</v>
      </c>
      <c r="V223">
        <v>0</v>
      </c>
      <c r="W223">
        <v>0</v>
      </c>
      <c r="X223">
        <v>0</v>
      </c>
      <c r="Y223">
        <v>0</v>
      </c>
      <c r="Z223">
        <v>1</v>
      </c>
      <c r="AA223">
        <v>9</v>
      </c>
      <c r="AB223">
        <v>17</v>
      </c>
      <c r="AC223">
        <v>32</v>
      </c>
      <c r="AD223">
        <v>49</v>
      </c>
      <c r="AE223">
        <v>52</v>
      </c>
      <c r="AF223">
        <v>61</v>
      </c>
      <c r="AG223">
        <v>75</v>
      </c>
      <c r="AH223">
        <v>89</v>
      </c>
      <c r="AI223">
        <v>103</v>
      </c>
      <c r="AJ223">
        <v>147</v>
      </c>
      <c r="AK223">
        <v>211</v>
      </c>
      <c r="AL223">
        <v>265</v>
      </c>
      <c r="AM223">
        <v>316</v>
      </c>
      <c r="AN223">
        <v>373</v>
      </c>
      <c r="AO223">
        <v>476</v>
      </c>
      <c r="AP223">
        <v>561</v>
      </c>
      <c r="AQ223">
        <v>650</v>
      </c>
      <c r="AR223">
        <v>749</v>
      </c>
      <c r="AS223">
        <v>874</v>
      </c>
      <c r="AT223">
        <v>1009</v>
      </c>
      <c r="AU223">
        <v>1106</v>
      </c>
      <c r="AV223">
        <v>1195</v>
      </c>
      <c r="AW223">
        <v>1324</v>
      </c>
      <c r="AX223">
        <v>1503</v>
      </c>
      <c r="AY223">
        <v>1711</v>
      </c>
      <c r="AZ223">
        <v>1947</v>
      </c>
      <c r="BA223">
        <v>2220</v>
      </c>
      <c r="BB223">
        <v>2515</v>
      </c>
      <c r="BC223">
        <v>2893</v>
      </c>
      <c r="BD223">
        <v>3241</v>
      </c>
      <c r="BE223">
        <v>3646</v>
      </c>
      <c r="BF223">
        <v>4029</v>
      </c>
      <c r="BG223">
        <v>4374</v>
      </c>
      <c r="BH223">
        <v>4638</v>
      </c>
      <c r="BI223">
        <v>4920</v>
      </c>
      <c r="BJ223">
        <v>5142</v>
      </c>
      <c r="BK223">
        <v>5413</v>
      </c>
      <c r="BL223">
        <v>5658</v>
      </c>
      <c r="BM223">
        <v>5916</v>
      </c>
      <c r="BN223">
        <v>6183</v>
      </c>
      <c r="BO223">
        <v>6484</v>
      </c>
      <c r="BP223">
        <v>6737</v>
      </c>
      <c r="BQ223">
        <v>6995</v>
      </c>
      <c r="BR223">
        <v>7282</v>
      </c>
      <c r="BS223">
        <v>7617</v>
      </c>
      <c r="BT223">
        <v>7872</v>
      </c>
      <c r="BU223">
        <v>8084</v>
      </c>
      <c r="BV223">
        <v>8278</v>
      </c>
      <c r="BW223">
        <v>8423</v>
      </c>
      <c r="BX223">
        <v>8546</v>
      </c>
      <c r="BY223">
        <v>8630</v>
      </c>
      <c r="BZ223">
        <v>8675</v>
      </c>
      <c r="CA223">
        <v>8707</v>
      </c>
      <c r="CB223">
        <v>8739</v>
      </c>
      <c r="CC223">
        <v>8754</v>
      </c>
      <c r="CD223">
        <v>8760</v>
      </c>
      <c r="CE223">
        <v>8760</v>
      </c>
      <c r="CF223">
        <v>8760</v>
      </c>
      <c r="CG223">
        <v>8760</v>
      </c>
      <c r="CH223">
        <v>8760</v>
      </c>
      <c r="CI223">
        <v>8760</v>
      </c>
      <c r="CJ223">
        <v>8760</v>
      </c>
      <c r="CK223">
        <v>8760</v>
      </c>
      <c r="CL223">
        <v>8760</v>
      </c>
      <c r="CM223">
        <v>8760</v>
      </c>
      <c r="CN223">
        <v>8760</v>
      </c>
      <c r="CO223">
        <v>8760</v>
      </c>
      <c r="CP223">
        <v>8760</v>
      </c>
      <c r="CQ223">
        <v>8760</v>
      </c>
      <c r="CR223">
        <v>8760</v>
      </c>
      <c r="CS223">
        <v>8760</v>
      </c>
      <c r="CT223">
        <v>8760</v>
      </c>
      <c r="CU223">
        <v>8760</v>
      </c>
      <c r="CV223">
        <v>8760</v>
      </c>
      <c r="CW223">
        <v>8760</v>
      </c>
      <c r="CX223">
        <v>8760</v>
      </c>
      <c r="CY223">
        <v>8760</v>
      </c>
      <c r="CZ223">
        <v>8760</v>
      </c>
      <c r="DA223">
        <v>8760</v>
      </c>
      <c r="DB223">
        <v>8760</v>
      </c>
    </row>
    <row r="224" spans="1:106" x14ac:dyDescent="0.25">
      <c r="A224" s="13" t="s">
        <v>241</v>
      </c>
      <c r="B224" t="s">
        <v>235</v>
      </c>
      <c r="C224" t="s">
        <v>438</v>
      </c>
      <c r="D224" t="s">
        <v>806</v>
      </c>
      <c r="E224" t="s">
        <v>807</v>
      </c>
      <c r="F224">
        <v>102119</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5</v>
      </c>
      <c r="AP224">
        <v>13</v>
      </c>
      <c r="AQ224">
        <v>28</v>
      </c>
      <c r="AR224">
        <v>38</v>
      </c>
      <c r="AS224">
        <v>44</v>
      </c>
      <c r="AT224">
        <v>61</v>
      </c>
      <c r="AU224">
        <v>90</v>
      </c>
      <c r="AV224">
        <v>119</v>
      </c>
      <c r="AW224">
        <v>154</v>
      </c>
      <c r="AX224">
        <v>207</v>
      </c>
      <c r="AY224">
        <v>294</v>
      </c>
      <c r="AZ224">
        <v>386</v>
      </c>
      <c r="BA224">
        <v>537</v>
      </c>
      <c r="BB224">
        <v>758</v>
      </c>
      <c r="BC224">
        <v>1046</v>
      </c>
      <c r="BD224">
        <v>1392</v>
      </c>
      <c r="BE224">
        <v>1787</v>
      </c>
      <c r="BF224">
        <v>2231</v>
      </c>
      <c r="BG224">
        <v>2676</v>
      </c>
      <c r="BH224">
        <v>3131</v>
      </c>
      <c r="BI224">
        <v>3563</v>
      </c>
      <c r="BJ224">
        <v>3970</v>
      </c>
      <c r="BK224">
        <v>4306</v>
      </c>
      <c r="BL224">
        <v>4647</v>
      </c>
      <c r="BM224">
        <v>4997</v>
      </c>
      <c r="BN224">
        <v>5386</v>
      </c>
      <c r="BO224">
        <v>5691</v>
      </c>
      <c r="BP224">
        <v>6062</v>
      </c>
      <c r="BQ224">
        <v>6413</v>
      </c>
      <c r="BR224">
        <v>6698</v>
      </c>
      <c r="BS224">
        <v>6993</v>
      </c>
      <c r="BT224">
        <v>7304</v>
      </c>
      <c r="BU224">
        <v>7569</v>
      </c>
      <c r="BV224">
        <v>7813</v>
      </c>
      <c r="BW224">
        <v>8011</v>
      </c>
      <c r="BX224">
        <v>8184</v>
      </c>
      <c r="BY224">
        <v>8311</v>
      </c>
      <c r="BZ224">
        <v>8428</v>
      </c>
      <c r="CA224">
        <v>8544</v>
      </c>
      <c r="CB224">
        <v>8633</v>
      </c>
      <c r="CC224">
        <v>8689</v>
      </c>
      <c r="CD224">
        <v>8732</v>
      </c>
      <c r="CE224">
        <v>8758</v>
      </c>
      <c r="CF224">
        <v>8760</v>
      </c>
      <c r="CG224">
        <v>8760</v>
      </c>
      <c r="CH224">
        <v>8760</v>
      </c>
      <c r="CI224">
        <v>8760</v>
      </c>
      <c r="CJ224">
        <v>8760</v>
      </c>
      <c r="CK224">
        <v>8760</v>
      </c>
      <c r="CL224">
        <v>8760</v>
      </c>
      <c r="CM224">
        <v>8760</v>
      </c>
      <c r="CN224">
        <v>8760</v>
      </c>
      <c r="CO224">
        <v>8760</v>
      </c>
      <c r="CP224">
        <v>8760</v>
      </c>
      <c r="CQ224">
        <v>8760</v>
      </c>
      <c r="CR224">
        <v>8760</v>
      </c>
      <c r="CS224">
        <v>8760</v>
      </c>
      <c r="CT224">
        <v>8760</v>
      </c>
      <c r="CU224">
        <v>8760</v>
      </c>
      <c r="CV224">
        <v>8760</v>
      </c>
      <c r="CW224">
        <v>8760</v>
      </c>
      <c r="CX224">
        <v>8760</v>
      </c>
      <c r="CY224">
        <v>8760</v>
      </c>
      <c r="CZ224">
        <v>8760</v>
      </c>
      <c r="DA224">
        <v>8760</v>
      </c>
      <c r="DB224">
        <v>8760</v>
      </c>
    </row>
    <row r="225" spans="1:106" x14ac:dyDescent="0.25">
      <c r="A225" s="13" t="s">
        <v>242</v>
      </c>
      <c r="B225" t="s">
        <v>411</v>
      </c>
      <c r="C225" t="s">
        <v>438</v>
      </c>
      <c r="D225" t="s">
        <v>808</v>
      </c>
      <c r="E225" t="s">
        <v>809</v>
      </c>
      <c r="F225">
        <v>102723</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6</v>
      </c>
      <c r="AE225">
        <v>12</v>
      </c>
      <c r="AF225">
        <v>16</v>
      </c>
      <c r="AG225">
        <v>18</v>
      </c>
      <c r="AH225">
        <v>20</v>
      </c>
      <c r="AI225">
        <v>23</v>
      </c>
      <c r="AJ225">
        <v>41</v>
      </c>
      <c r="AK225">
        <v>50</v>
      </c>
      <c r="AL225">
        <v>69</v>
      </c>
      <c r="AM225">
        <v>84</v>
      </c>
      <c r="AN225">
        <v>96</v>
      </c>
      <c r="AO225">
        <v>121</v>
      </c>
      <c r="AP225">
        <v>171</v>
      </c>
      <c r="AQ225">
        <v>257</v>
      </c>
      <c r="AR225">
        <v>349</v>
      </c>
      <c r="AS225">
        <v>437</v>
      </c>
      <c r="AT225">
        <v>529</v>
      </c>
      <c r="AU225">
        <v>607</v>
      </c>
      <c r="AV225">
        <v>705</v>
      </c>
      <c r="AW225">
        <v>816</v>
      </c>
      <c r="AX225">
        <v>955</v>
      </c>
      <c r="AY225">
        <v>1164</v>
      </c>
      <c r="AZ225">
        <v>1432</v>
      </c>
      <c r="BA225">
        <v>1735</v>
      </c>
      <c r="BB225">
        <v>2047</v>
      </c>
      <c r="BC225">
        <v>2388</v>
      </c>
      <c r="BD225">
        <v>2813</v>
      </c>
      <c r="BE225">
        <v>3268</v>
      </c>
      <c r="BF225">
        <v>3678</v>
      </c>
      <c r="BG225">
        <v>4073</v>
      </c>
      <c r="BH225">
        <v>4407</v>
      </c>
      <c r="BI225">
        <v>4745</v>
      </c>
      <c r="BJ225">
        <v>5030</v>
      </c>
      <c r="BK225">
        <v>5350</v>
      </c>
      <c r="BL225">
        <v>5660</v>
      </c>
      <c r="BM225">
        <v>5923</v>
      </c>
      <c r="BN225">
        <v>6195</v>
      </c>
      <c r="BO225">
        <v>6514</v>
      </c>
      <c r="BP225">
        <v>6846</v>
      </c>
      <c r="BQ225">
        <v>7142</v>
      </c>
      <c r="BR225">
        <v>7440</v>
      </c>
      <c r="BS225">
        <v>7706</v>
      </c>
      <c r="BT225">
        <v>7906</v>
      </c>
      <c r="BU225">
        <v>8089</v>
      </c>
      <c r="BV225">
        <v>8267</v>
      </c>
      <c r="BW225">
        <v>8393</v>
      </c>
      <c r="BX225">
        <v>8509</v>
      </c>
      <c r="BY225">
        <v>8584</v>
      </c>
      <c r="BZ225">
        <v>8647</v>
      </c>
      <c r="CA225">
        <v>8711</v>
      </c>
      <c r="CB225">
        <v>8738</v>
      </c>
      <c r="CC225">
        <v>8757</v>
      </c>
      <c r="CD225">
        <v>8760</v>
      </c>
      <c r="CE225">
        <v>8760</v>
      </c>
      <c r="CF225">
        <v>8760</v>
      </c>
      <c r="CG225">
        <v>8760</v>
      </c>
      <c r="CH225">
        <v>8760</v>
      </c>
      <c r="CI225">
        <v>8760</v>
      </c>
      <c r="CJ225">
        <v>8760</v>
      </c>
      <c r="CK225">
        <v>8760</v>
      </c>
      <c r="CL225">
        <v>8760</v>
      </c>
      <c r="CM225">
        <v>8760</v>
      </c>
      <c r="CN225">
        <v>8760</v>
      </c>
      <c r="CO225">
        <v>8760</v>
      </c>
      <c r="CP225">
        <v>8760</v>
      </c>
      <c r="CQ225">
        <v>8760</v>
      </c>
      <c r="CR225">
        <v>8760</v>
      </c>
      <c r="CS225">
        <v>8760</v>
      </c>
      <c r="CT225">
        <v>8760</v>
      </c>
      <c r="CU225">
        <v>8760</v>
      </c>
      <c r="CV225">
        <v>8760</v>
      </c>
      <c r="CW225">
        <v>8760</v>
      </c>
      <c r="CX225">
        <v>8760</v>
      </c>
      <c r="CY225">
        <v>8760</v>
      </c>
      <c r="CZ225">
        <v>8760</v>
      </c>
      <c r="DA225">
        <v>8760</v>
      </c>
      <c r="DB225">
        <v>8760</v>
      </c>
    </row>
    <row r="226" spans="1:106" x14ac:dyDescent="0.25">
      <c r="A226" s="13" t="s">
        <v>243</v>
      </c>
      <c r="B226" t="s">
        <v>412</v>
      </c>
    </row>
    <row r="227" spans="1:106" x14ac:dyDescent="0.25">
      <c r="A227" s="13" t="s">
        <v>244</v>
      </c>
      <c r="B227" t="s">
        <v>237</v>
      </c>
      <c r="C227" t="s">
        <v>438</v>
      </c>
      <c r="D227" t="s">
        <v>810</v>
      </c>
      <c r="E227" t="s">
        <v>811</v>
      </c>
      <c r="F227">
        <v>102604</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2</v>
      </c>
      <c r="AB227">
        <v>5</v>
      </c>
      <c r="AC227">
        <v>9</v>
      </c>
      <c r="AD227">
        <v>13</v>
      </c>
      <c r="AE227">
        <v>16</v>
      </c>
      <c r="AF227">
        <v>25</v>
      </c>
      <c r="AG227">
        <v>27</v>
      </c>
      <c r="AH227">
        <v>29</v>
      </c>
      <c r="AI227">
        <v>31</v>
      </c>
      <c r="AJ227">
        <v>38</v>
      </c>
      <c r="AK227">
        <v>52</v>
      </c>
      <c r="AL227">
        <v>64</v>
      </c>
      <c r="AM227">
        <v>77</v>
      </c>
      <c r="AN227">
        <v>92</v>
      </c>
      <c r="AO227">
        <v>107</v>
      </c>
      <c r="AP227">
        <v>135</v>
      </c>
      <c r="AQ227">
        <v>154</v>
      </c>
      <c r="AR227">
        <v>189</v>
      </c>
      <c r="AS227">
        <v>241</v>
      </c>
      <c r="AT227">
        <v>305</v>
      </c>
      <c r="AU227">
        <v>394</v>
      </c>
      <c r="AV227">
        <v>487</v>
      </c>
      <c r="AW227">
        <v>595</v>
      </c>
      <c r="AX227">
        <v>728</v>
      </c>
      <c r="AY227">
        <v>865</v>
      </c>
      <c r="AZ227">
        <v>1030</v>
      </c>
      <c r="BA227">
        <v>1276</v>
      </c>
      <c r="BB227">
        <v>1575</v>
      </c>
      <c r="BC227">
        <v>1900</v>
      </c>
      <c r="BD227">
        <v>2274</v>
      </c>
      <c r="BE227">
        <v>2728</v>
      </c>
      <c r="BF227">
        <v>3175</v>
      </c>
      <c r="BG227">
        <v>3627</v>
      </c>
      <c r="BH227">
        <v>4009</v>
      </c>
      <c r="BI227">
        <v>4311</v>
      </c>
      <c r="BJ227">
        <v>4593</v>
      </c>
      <c r="BK227">
        <v>4892</v>
      </c>
      <c r="BL227">
        <v>5211</v>
      </c>
      <c r="BM227">
        <v>5521</v>
      </c>
      <c r="BN227">
        <v>5810</v>
      </c>
      <c r="BO227">
        <v>6110</v>
      </c>
      <c r="BP227">
        <v>6400</v>
      </c>
      <c r="BQ227">
        <v>6738</v>
      </c>
      <c r="BR227">
        <v>7065</v>
      </c>
      <c r="BS227">
        <v>7351</v>
      </c>
      <c r="BT227">
        <v>7635</v>
      </c>
      <c r="BU227">
        <v>7872</v>
      </c>
      <c r="BV227">
        <v>8063</v>
      </c>
      <c r="BW227">
        <v>8225</v>
      </c>
      <c r="BX227">
        <v>8395</v>
      </c>
      <c r="BY227">
        <v>8512</v>
      </c>
      <c r="BZ227">
        <v>8582</v>
      </c>
      <c r="CA227">
        <v>8626</v>
      </c>
      <c r="CB227">
        <v>8663</v>
      </c>
      <c r="CC227">
        <v>8699</v>
      </c>
      <c r="CD227">
        <v>8725</v>
      </c>
      <c r="CE227">
        <v>8743</v>
      </c>
      <c r="CF227">
        <v>8752</v>
      </c>
      <c r="CG227">
        <v>8757</v>
      </c>
      <c r="CH227">
        <v>8760</v>
      </c>
      <c r="CI227">
        <v>8760</v>
      </c>
      <c r="CJ227">
        <v>8760</v>
      </c>
      <c r="CK227">
        <v>8760</v>
      </c>
      <c r="CL227">
        <v>8760</v>
      </c>
      <c r="CM227">
        <v>8760</v>
      </c>
      <c r="CN227">
        <v>8760</v>
      </c>
      <c r="CO227">
        <v>8760</v>
      </c>
      <c r="CP227">
        <v>8760</v>
      </c>
      <c r="CQ227">
        <v>8760</v>
      </c>
      <c r="CR227">
        <v>8760</v>
      </c>
      <c r="CS227">
        <v>8760</v>
      </c>
      <c r="CT227">
        <v>8760</v>
      </c>
      <c r="CU227">
        <v>8760</v>
      </c>
      <c r="CV227">
        <v>8760</v>
      </c>
      <c r="CW227">
        <v>8760</v>
      </c>
      <c r="CX227">
        <v>8760</v>
      </c>
      <c r="CY227">
        <v>8760</v>
      </c>
      <c r="CZ227">
        <v>8760</v>
      </c>
      <c r="DA227">
        <v>8760</v>
      </c>
      <c r="DB227">
        <v>8760</v>
      </c>
    </row>
    <row r="228" spans="1:106" x14ac:dyDescent="0.25">
      <c r="A228" s="13" t="s">
        <v>245</v>
      </c>
      <c r="B228" t="s">
        <v>238</v>
      </c>
      <c r="C228" t="s">
        <v>438</v>
      </c>
      <c r="D228" t="s">
        <v>812</v>
      </c>
      <c r="E228" t="s">
        <v>813</v>
      </c>
      <c r="F228">
        <v>102643</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1</v>
      </c>
      <c r="AP228">
        <v>2</v>
      </c>
      <c r="AQ228">
        <v>5</v>
      </c>
      <c r="AR228">
        <v>15</v>
      </c>
      <c r="AS228">
        <v>36</v>
      </c>
      <c r="AT228">
        <v>72</v>
      </c>
      <c r="AU228">
        <v>109</v>
      </c>
      <c r="AV228">
        <v>168</v>
      </c>
      <c r="AW228">
        <v>234</v>
      </c>
      <c r="AX228">
        <v>341</v>
      </c>
      <c r="AY228">
        <v>505</v>
      </c>
      <c r="AZ228">
        <v>674</v>
      </c>
      <c r="BA228">
        <v>838</v>
      </c>
      <c r="BB228">
        <v>1042</v>
      </c>
      <c r="BC228">
        <v>1313</v>
      </c>
      <c r="BD228">
        <v>1616</v>
      </c>
      <c r="BE228">
        <v>2033</v>
      </c>
      <c r="BF228">
        <v>2466</v>
      </c>
      <c r="BG228">
        <v>2926</v>
      </c>
      <c r="BH228">
        <v>3302</v>
      </c>
      <c r="BI228">
        <v>3770</v>
      </c>
      <c r="BJ228">
        <v>4234</v>
      </c>
      <c r="BK228">
        <v>4608</v>
      </c>
      <c r="BL228">
        <v>4913</v>
      </c>
      <c r="BM228">
        <v>5166</v>
      </c>
      <c r="BN228">
        <v>5459</v>
      </c>
      <c r="BO228">
        <v>5766</v>
      </c>
      <c r="BP228">
        <v>6142</v>
      </c>
      <c r="BQ228">
        <v>6467</v>
      </c>
      <c r="BR228">
        <v>6810</v>
      </c>
      <c r="BS228">
        <v>7150</v>
      </c>
      <c r="BT228">
        <v>7467</v>
      </c>
      <c r="BU228">
        <v>7746</v>
      </c>
      <c r="BV228">
        <v>7979</v>
      </c>
      <c r="BW228">
        <v>8148</v>
      </c>
      <c r="BX228">
        <v>8303</v>
      </c>
      <c r="BY228">
        <v>8407</v>
      </c>
      <c r="BZ228">
        <v>8501</v>
      </c>
      <c r="CA228">
        <v>8569</v>
      </c>
      <c r="CB228">
        <v>8619</v>
      </c>
      <c r="CC228">
        <v>8659</v>
      </c>
      <c r="CD228">
        <v>8685</v>
      </c>
      <c r="CE228">
        <v>8713</v>
      </c>
      <c r="CF228">
        <v>8731</v>
      </c>
      <c r="CG228">
        <v>8752</v>
      </c>
      <c r="CH228">
        <v>8760</v>
      </c>
      <c r="CI228">
        <v>8760</v>
      </c>
      <c r="CJ228">
        <v>8760</v>
      </c>
      <c r="CK228">
        <v>8760</v>
      </c>
      <c r="CL228">
        <v>8760</v>
      </c>
      <c r="CM228">
        <v>8760</v>
      </c>
      <c r="CN228">
        <v>8760</v>
      </c>
      <c r="CO228">
        <v>8760</v>
      </c>
      <c r="CP228">
        <v>8760</v>
      </c>
      <c r="CQ228">
        <v>8760</v>
      </c>
      <c r="CR228">
        <v>8760</v>
      </c>
      <c r="CS228">
        <v>8760</v>
      </c>
      <c r="CT228">
        <v>8760</v>
      </c>
      <c r="CU228">
        <v>8760</v>
      </c>
      <c r="CV228">
        <v>8760</v>
      </c>
      <c r="CW228">
        <v>8760</v>
      </c>
      <c r="CX228">
        <v>8760</v>
      </c>
      <c r="CY228">
        <v>8760</v>
      </c>
      <c r="CZ228">
        <v>8760</v>
      </c>
      <c r="DA228">
        <v>8760</v>
      </c>
      <c r="DB228">
        <v>8760</v>
      </c>
    </row>
    <row r="229" spans="1:106" x14ac:dyDescent="0.25">
      <c r="A229" s="13" t="s">
        <v>246</v>
      </c>
      <c r="B229" t="s">
        <v>240</v>
      </c>
      <c r="C229" t="s">
        <v>438</v>
      </c>
      <c r="D229" t="s">
        <v>814</v>
      </c>
      <c r="E229" t="s">
        <v>815</v>
      </c>
      <c r="F229">
        <v>102710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4</v>
      </c>
      <c r="AN229">
        <v>12</v>
      </c>
      <c r="AO229">
        <v>24</v>
      </c>
      <c r="AP229">
        <v>38</v>
      </c>
      <c r="AQ229">
        <v>65</v>
      </c>
      <c r="AR229">
        <v>101</v>
      </c>
      <c r="AS229">
        <v>139</v>
      </c>
      <c r="AT229">
        <v>183</v>
      </c>
      <c r="AU229">
        <v>267</v>
      </c>
      <c r="AV229">
        <v>349</v>
      </c>
      <c r="AW229">
        <v>440</v>
      </c>
      <c r="AX229">
        <v>540</v>
      </c>
      <c r="AY229">
        <v>682</v>
      </c>
      <c r="AZ229">
        <v>874</v>
      </c>
      <c r="BA229">
        <v>1120</v>
      </c>
      <c r="BB229">
        <v>1422</v>
      </c>
      <c r="BC229">
        <v>1844</v>
      </c>
      <c r="BD229">
        <v>2254</v>
      </c>
      <c r="BE229">
        <v>2799</v>
      </c>
      <c r="BF229">
        <v>3247</v>
      </c>
      <c r="BG229">
        <v>3669</v>
      </c>
      <c r="BH229">
        <v>4042</v>
      </c>
      <c r="BI229">
        <v>4415</v>
      </c>
      <c r="BJ229">
        <v>4744</v>
      </c>
      <c r="BK229">
        <v>5048</v>
      </c>
      <c r="BL229">
        <v>5377</v>
      </c>
      <c r="BM229">
        <v>5718</v>
      </c>
      <c r="BN229">
        <v>6007</v>
      </c>
      <c r="BO229">
        <v>6293</v>
      </c>
      <c r="BP229">
        <v>6577</v>
      </c>
      <c r="BQ229">
        <v>6872</v>
      </c>
      <c r="BR229">
        <v>7163</v>
      </c>
      <c r="BS229">
        <v>7427</v>
      </c>
      <c r="BT229">
        <v>7710</v>
      </c>
      <c r="BU229">
        <v>7919</v>
      </c>
      <c r="BV229">
        <v>8096</v>
      </c>
      <c r="BW229">
        <v>8278</v>
      </c>
      <c r="BX229">
        <v>8434</v>
      </c>
      <c r="BY229">
        <v>8550</v>
      </c>
      <c r="BZ229">
        <v>8625</v>
      </c>
      <c r="CA229">
        <v>8670</v>
      </c>
      <c r="CB229">
        <v>8707</v>
      </c>
      <c r="CC229">
        <v>8725</v>
      </c>
      <c r="CD229">
        <v>8748</v>
      </c>
      <c r="CE229">
        <v>8757</v>
      </c>
      <c r="CF229">
        <v>8760</v>
      </c>
      <c r="CG229">
        <v>8760</v>
      </c>
      <c r="CH229">
        <v>8760</v>
      </c>
      <c r="CI229">
        <v>8760</v>
      </c>
      <c r="CJ229">
        <v>8760</v>
      </c>
      <c r="CK229">
        <v>8760</v>
      </c>
      <c r="CL229">
        <v>8760</v>
      </c>
      <c r="CM229">
        <v>8760</v>
      </c>
      <c r="CN229">
        <v>8760</v>
      </c>
      <c r="CO229">
        <v>8760</v>
      </c>
      <c r="CP229">
        <v>8760</v>
      </c>
      <c r="CQ229">
        <v>8760</v>
      </c>
      <c r="CR229">
        <v>8760</v>
      </c>
      <c r="CS229">
        <v>8760</v>
      </c>
      <c r="CT229">
        <v>8760</v>
      </c>
      <c r="CU229">
        <v>8760</v>
      </c>
      <c r="CV229">
        <v>8760</v>
      </c>
      <c r="CW229">
        <v>8760</v>
      </c>
      <c r="CX229">
        <v>8760</v>
      </c>
      <c r="CY229">
        <v>8760</v>
      </c>
      <c r="CZ229">
        <v>8760</v>
      </c>
      <c r="DA229">
        <v>8760</v>
      </c>
      <c r="DB229">
        <v>8760</v>
      </c>
    </row>
    <row r="230" spans="1:106" x14ac:dyDescent="0.25">
      <c r="A230" s="13" t="s">
        <v>247</v>
      </c>
      <c r="B230" t="s">
        <v>245</v>
      </c>
      <c r="C230" t="s">
        <v>438</v>
      </c>
      <c r="D230" t="s">
        <v>816</v>
      </c>
      <c r="E230" t="s">
        <v>817</v>
      </c>
      <c r="F230">
        <v>102642</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3</v>
      </c>
      <c r="AO230">
        <v>8</v>
      </c>
      <c r="AP230">
        <v>24</v>
      </c>
      <c r="AQ230">
        <v>51</v>
      </c>
      <c r="AR230">
        <v>74</v>
      </c>
      <c r="AS230">
        <v>105</v>
      </c>
      <c r="AT230">
        <v>141</v>
      </c>
      <c r="AU230">
        <v>186</v>
      </c>
      <c r="AV230">
        <v>227</v>
      </c>
      <c r="AW230">
        <v>311</v>
      </c>
      <c r="AX230">
        <v>418</v>
      </c>
      <c r="AY230">
        <v>536</v>
      </c>
      <c r="AZ230">
        <v>695</v>
      </c>
      <c r="BA230">
        <v>939</v>
      </c>
      <c r="BB230">
        <v>1172</v>
      </c>
      <c r="BC230">
        <v>1459</v>
      </c>
      <c r="BD230">
        <v>1859</v>
      </c>
      <c r="BE230">
        <v>2395</v>
      </c>
      <c r="BF230">
        <v>2799</v>
      </c>
      <c r="BG230">
        <v>3137</v>
      </c>
      <c r="BH230">
        <v>3459</v>
      </c>
      <c r="BI230">
        <v>3824</v>
      </c>
      <c r="BJ230">
        <v>4216</v>
      </c>
      <c r="BK230">
        <v>4597</v>
      </c>
      <c r="BL230">
        <v>4946</v>
      </c>
      <c r="BM230">
        <v>5271</v>
      </c>
      <c r="BN230">
        <v>5595</v>
      </c>
      <c r="BO230">
        <v>5886</v>
      </c>
      <c r="BP230">
        <v>6232</v>
      </c>
      <c r="BQ230">
        <v>6565</v>
      </c>
      <c r="BR230">
        <v>6925</v>
      </c>
      <c r="BS230">
        <v>7238</v>
      </c>
      <c r="BT230">
        <v>7538</v>
      </c>
      <c r="BU230">
        <v>7837</v>
      </c>
      <c r="BV230">
        <v>8054</v>
      </c>
      <c r="BW230">
        <v>8226</v>
      </c>
      <c r="BX230">
        <v>8366</v>
      </c>
      <c r="BY230">
        <v>8495</v>
      </c>
      <c r="BZ230">
        <v>8583</v>
      </c>
      <c r="CA230">
        <v>8623</v>
      </c>
      <c r="CB230">
        <v>8668</v>
      </c>
      <c r="CC230">
        <v>8691</v>
      </c>
      <c r="CD230">
        <v>8713</v>
      </c>
      <c r="CE230">
        <v>8726</v>
      </c>
      <c r="CF230">
        <v>8741</v>
      </c>
      <c r="CG230">
        <v>8750</v>
      </c>
      <c r="CH230">
        <v>8758</v>
      </c>
      <c r="CI230">
        <v>8760</v>
      </c>
      <c r="CJ230">
        <v>8760</v>
      </c>
      <c r="CK230">
        <v>8760</v>
      </c>
      <c r="CL230">
        <v>8760</v>
      </c>
      <c r="CM230">
        <v>8760</v>
      </c>
      <c r="CN230">
        <v>8760</v>
      </c>
      <c r="CO230">
        <v>8760</v>
      </c>
      <c r="CP230">
        <v>8760</v>
      </c>
      <c r="CQ230">
        <v>8760</v>
      </c>
      <c r="CR230">
        <v>8760</v>
      </c>
      <c r="CS230">
        <v>8760</v>
      </c>
      <c r="CT230">
        <v>8760</v>
      </c>
      <c r="CU230">
        <v>8760</v>
      </c>
      <c r="CV230">
        <v>8760</v>
      </c>
      <c r="CW230">
        <v>8760</v>
      </c>
      <c r="CX230">
        <v>8760</v>
      </c>
      <c r="CY230">
        <v>8760</v>
      </c>
      <c r="CZ230">
        <v>8760</v>
      </c>
      <c r="DA230">
        <v>8760</v>
      </c>
      <c r="DB230">
        <v>8760</v>
      </c>
    </row>
    <row r="231" spans="1:106" x14ac:dyDescent="0.25">
      <c r="A231" s="13" t="s">
        <v>248</v>
      </c>
      <c r="B231" t="s">
        <v>246</v>
      </c>
      <c r="C231" t="s">
        <v>438</v>
      </c>
      <c r="D231" t="s">
        <v>818</v>
      </c>
      <c r="E231" t="s">
        <v>819</v>
      </c>
      <c r="F231">
        <v>102103</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6</v>
      </c>
      <c r="AV231">
        <v>12</v>
      </c>
      <c r="AW231">
        <v>18</v>
      </c>
      <c r="AX231">
        <v>42</v>
      </c>
      <c r="AY231">
        <v>100</v>
      </c>
      <c r="AZ231">
        <v>175</v>
      </c>
      <c r="BA231">
        <v>275</v>
      </c>
      <c r="BB231">
        <v>482</v>
      </c>
      <c r="BC231">
        <v>780</v>
      </c>
      <c r="BD231">
        <v>1106</v>
      </c>
      <c r="BE231">
        <v>1484</v>
      </c>
      <c r="BF231">
        <v>1921</v>
      </c>
      <c r="BG231">
        <v>2406</v>
      </c>
      <c r="BH231">
        <v>2871</v>
      </c>
      <c r="BI231">
        <v>3379</v>
      </c>
      <c r="BJ231">
        <v>3808</v>
      </c>
      <c r="BK231">
        <v>4173</v>
      </c>
      <c r="BL231">
        <v>4503</v>
      </c>
      <c r="BM231">
        <v>4918</v>
      </c>
      <c r="BN231">
        <v>5277</v>
      </c>
      <c r="BO231">
        <v>5635</v>
      </c>
      <c r="BP231">
        <v>6024</v>
      </c>
      <c r="BQ231">
        <v>6445</v>
      </c>
      <c r="BR231">
        <v>6815</v>
      </c>
      <c r="BS231">
        <v>7172</v>
      </c>
      <c r="BT231">
        <v>7514</v>
      </c>
      <c r="BU231">
        <v>7849</v>
      </c>
      <c r="BV231">
        <v>8129</v>
      </c>
      <c r="BW231">
        <v>8367</v>
      </c>
      <c r="BX231">
        <v>8539</v>
      </c>
      <c r="BY231">
        <v>8634</v>
      </c>
      <c r="BZ231">
        <v>8683</v>
      </c>
      <c r="CA231">
        <v>8731</v>
      </c>
      <c r="CB231">
        <v>8757</v>
      </c>
      <c r="CC231">
        <v>8760</v>
      </c>
      <c r="CD231">
        <v>8760</v>
      </c>
      <c r="CE231">
        <v>8760</v>
      </c>
      <c r="CF231">
        <v>8760</v>
      </c>
      <c r="CG231">
        <v>8760</v>
      </c>
      <c r="CH231">
        <v>8760</v>
      </c>
      <c r="CI231">
        <v>8760</v>
      </c>
      <c r="CJ231">
        <v>8760</v>
      </c>
      <c r="CK231">
        <v>8760</v>
      </c>
      <c r="CL231">
        <v>8760</v>
      </c>
      <c r="CM231">
        <v>8760</v>
      </c>
      <c r="CN231">
        <v>8760</v>
      </c>
      <c r="CO231">
        <v>8760</v>
      </c>
      <c r="CP231">
        <v>8760</v>
      </c>
      <c r="CQ231">
        <v>8760</v>
      </c>
      <c r="CR231">
        <v>8760</v>
      </c>
      <c r="CS231">
        <v>8760</v>
      </c>
      <c r="CT231">
        <v>8760</v>
      </c>
      <c r="CU231">
        <v>8760</v>
      </c>
      <c r="CV231">
        <v>8760</v>
      </c>
      <c r="CW231">
        <v>8760</v>
      </c>
      <c r="CX231">
        <v>8760</v>
      </c>
      <c r="CY231">
        <v>8760</v>
      </c>
      <c r="CZ231">
        <v>8760</v>
      </c>
      <c r="DA231">
        <v>8760</v>
      </c>
      <c r="DB231">
        <v>8760</v>
      </c>
    </row>
    <row r="232" spans="1:106" x14ac:dyDescent="0.25">
      <c r="A232" s="13" t="s">
        <v>249</v>
      </c>
      <c r="B232" t="s">
        <v>247</v>
      </c>
      <c r="C232" t="s">
        <v>438</v>
      </c>
      <c r="D232" t="s">
        <v>820</v>
      </c>
      <c r="E232" t="s">
        <v>821</v>
      </c>
      <c r="F232">
        <v>102104</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8</v>
      </c>
      <c r="AS232">
        <v>15</v>
      </c>
      <c r="AT232">
        <v>20</v>
      </c>
      <c r="AU232">
        <v>28</v>
      </c>
      <c r="AV232">
        <v>44</v>
      </c>
      <c r="AW232">
        <v>66</v>
      </c>
      <c r="AX232">
        <v>115</v>
      </c>
      <c r="AY232">
        <v>184</v>
      </c>
      <c r="AZ232">
        <v>269</v>
      </c>
      <c r="BA232">
        <v>392</v>
      </c>
      <c r="BB232">
        <v>539</v>
      </c>
      <c r="BC232">
        <v>803</v>
      </c>
      <c r="BD232">
        <v>1076</v>
      </c>
      <c r="BE232">
        <v>1400</v>
      </c>
      <c r="BF232">
        <v>1833</v>
      </c>
      <c r="BG232">
        <v>2244</v>
      </c>
      <c r="BH232">
        <v>2731</v>
      </c>
      <c r="BI232">
        <v>3181</v>
      </c>
      <c r="BJ232">
        <v>3666</v>
      </c>
      <c r="BK232">
        <v>4019</v>
      </c>
      <c r="BL232">
        <v>4368</v>
      </c>
      <c r="BM232">
        <v>4706</v>
      </c>
      <c r="BN232">
        <v>5053</v>
      </c>
      <c r="BO232">
        <v>5430</v>
      </c>
      <c r="BP232">
        <v>5883</v>
      </c>
      <c r="BQ232">
        <v>6281</v>
      </c>
      <c r="BR232">
        <v>6718</v>
      </c>
      <c r="BS232">
        <v>7123</v>
      </c>
      <c r="BT232">
        <v>7435</v>
      </c>
      <c r="BU232">
        <v>7725</v>
      </c>
      <c r="BV232">
        <v>8017</v>
      </c>
      <c r="BW232">
        <v>8251</v>
      </c>
      <c r="BX232">
        <v>8411</v>
      </c>
      <c r="BY232">
        <v>8533</v>
      </c>
      <c r="BZ232">
        <v>8628</v>
      </c>
      <c r="CA232">
        <v>8684</v>
      </c>
      <c r="CB232">
        <v>8735</v>
      </c>
      <c r="CC232">
        <v>8746</v>
      </c>
      <c r="CD232">
        <v>8756</v>
      </c>
      <c r="CE232">
        <v>8760</v>
      </c>
      <c r="CF232">
        <v>8760</v>
      </c>
      <c r="CG232">
        <v>8760</v>
      </c>
      <c r="CH232">
        <v>8760</v>
      </c>
      <c r="CI232">
        <v>8760</v>
      </c>
      <c r="CJ232">
        <v>8760</v>
      </c>
      <c r="CK232">
        <v>8760</v>
      </c>
      <c r="CL232">
        <v>8760</v>
      </c>
      <c r="CM232">
        <v>8760</v>
      </c>
      <c r="CN232">
        <v>8760</v>
      </c>
      <c r="CO232">
        <v>8760</v>
      </c>
      <c r="CP232">
        <v>8760</v>
      </c>
      <c r="CQ232">
        <v>8760</v>
      </c>
      <c r="CR232">
        <v>8760</v>
      </c>
      <c r="CS232">
        <v>8760</v>
      </c>
      <c r="CT232">
        <v>8760</v>
      </c>
      <c r="CU232">
        <v>8760</v>
      </c>
      <c r="CV232">
        <v>8760</v>
      </c>
      <c r="CW232">
        <v>8760</v>
      </c>
      <c r="CX232">
        <v>8760</v>
      </c>
      <c r="CY232">
        <v>8760</v>
      </c>
      <c r="CZ232">
        <v>8760</v>
      </c>
      <c r="DA232">
        <v>8760</v>
      </c>
      <c r="DB232">
        <v>8760</v>
      </c>
    </row>
    <row r="233" spans="1:106" x14ac:dyDescent="0.25">
      <c r="A233" s="13" t="s">
        <v>250</v>
      </c>
      <c r="B233" t="s">
        <v>248</v>
      </c>
      <c r="C233" t="s">
        <v>438</v>
      </c>
      <c r="D233" t="s">
        <v>822</v>
      </c>
      <c r="E233" t="s">
        <v>823</v>
      </c>
      <c r="F233">
        <v>102214</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9</v>
      </c>
      <c r="AQ233">
        <v>16</v>
      </c>
      <c r="AR233">
        <v>28</v>
      </c>
      <c r="AS233">
        <v>48</v>
      </c>
      <c r="AT233">
        <v>93</v>
      </c>
      <c r="AU233">
        <v>145</v>
      </c>
      <c r="AV233">
        <v>197</v>
      </c>
      <c r="AW233">
        <v>268</v>
      </c>
      <c r="AX233">
        <v>372</v>
      </c>
      <c r="AY233">
        <v>504</v>
      </c>
      <c r="AZ233">
        <v>672</v>
      </c>
      <c r="BA233">
        <v>884</v>
      </c>
      <c r="BB233">
        <v>1157</v>
      </c>
      <c r="BC233">
        <v>1455</v>
      </c>
      <c r="BD233">
        <v>1850</v>
      </c>
      <c r="BE233">
        <v>2370</v>
      </c>
      <c r="BF233">
        <v>2805</v>
      </c>
      <c r="BG233">
        <v>3148</v>
      </c>
      <c r="BH233">
        <v>3486</v>
      </c>
      <c r="BI233">
        <v>3824</v>
      </c>
      <c r="BJ233">
        <v>4158</v>
      </c>
      <c r="BK233">
        <v>4492</v>
      </c>
      <c r="BL233">
        <v>4832</v>
      </c>
      <c r="BM233">
        <v>5230</v>
      </c>
      <c r="BN233">
        <v>5610</v>
      </c>
      <c r="BO233">
        <v>5961</v>
      </c>
      <c r="BP233">
        <v>6350</v>
      </c>
      <c r="BQ233">
        <v>6750</v>
      </c>
      <c r="BR233">
        <v>7094</v>
      </c>
      <c r="BS233">
        <v>7406</v>
      </c>
      <c r="BT233">
        <v>7706</v>
      </c>
      <c r="BU233">
        <v>7948</v>
      </c>
      <c r="BV233">
        <v>8146</v>
      </c>
      <c r="BW233">
        <v>8319</v>
      </c>
      <c r="BX233">
        <v>8449</v>
      </c>
      <c r="BY233">
        <v>8544</v>
      </c>
      <c r="BZ233">
        <v>8600</v>
      </c>
      <c r="CA233">
        <v>8649</v>
      </c>
      <c r="CB233">
        <v>8688</v>
      </c>
      <c r="CC233">
        <v>8726</v>
      </c>
      <c r="CD233">
        <v>8739</v>
      </c>
      <c r="CE233">
        <v>8750</v>
      </c>
      <c r="CF233">
        <v>8760</v>
      </c>
      <c r="CG233">
        <v>8760</v>
      </c>
      <c r="CH233">
        <v>8760</v>
      </c>
      <c r="CI233">
        <v>8760</v>
      </c>
      <c r="CJ233">
        <v>8760</v>
      </c>
      <c r="CK233">
        <v>8760</v>
      </c>
      <c r="CL233">
        <v>8760</v>
      </c>
      <c r="CM233">
        <v>8760</v>
      </c>
      <c r="CN233">
        <v>8760</v>
      </c>
      <c r="CO233">
        <v>8760</v>
      </c>
      <c r="CP233">
        <v>8760</v>
      </c>
      <c r="CQ233">
        <v>8760</v>
      </c>
      <c r="CR233">
        <v>8760</v>
      </c>
      <c r="CS233">
        <v>8760</v>
      </c>
      <c r="CT233">
        <v>8760</v>
      </c>
      <c r="CU233">
        <v>8760</v>
      </c>
      <c r="CV233">
        <v>8760</v>
      </c>
      <c r="CW233">
        <v>8760</v>
      </c>
      <c r="CX233">
        <v>8760</v>
      </c>
      <c r="CY233">
        <v>8760</v>
      </c>
      <c r="CZ233">
        <v>8760</v>
      </c>
      <c r="DA233">
        <v>8760</v>
      </c>
      <c r="DB233">
        <v>8760</v>
      </c>
    </row>
    <row r="234" spans="1:106" x14ac:dyDescent="0.25">
      <c r="A234" s="13" t="s">
        <v>251</v>
      </c>
      <c r="B234" t="s">
        <v>413</v>
      </c>
    </row>
    <row r="235" spans="1:106" x14ac:dyDescent="0.25">
      <c r="A235" s="13" t="s">
        <v>252</v>
      </c>
      <c r="B235" t="s">
        <v>249</v>
      </c>
      <c r="C235" t="s">
        <v>438</v>
      </c>
      <c r="D235" t="s">
        <v>824</v>
      </c>
      <c r="E235" t="s">
        <v>825</v>
      </c>
      <c r="F235">
        <v>102911</v>
      </c>
      <c r="G235">
        <v>0</v>
      </c>
      <c r="H235">
        <v>0</v>
      </c>
      <c r="I235">
        <v>0</v>
      </c>
      <c r="J235">
        <v>0</v>
      </c>
      <c r="K235">
        <v>0</v>
      </c>
      <c r="L235">
        <v>0</v>
      </c>
      <c r="M235">
        <v>0</v>
      </c>
      <c r="N235">
        <v>0</v>
      </c>
      <c r="O235">
        <v>0</v>
      </c>
      <c r="P235">
        <v>0</v>
      </c>
      <c r="Q235">
        <v>0</v>
      </c>
      <c r="R235">
        <v>0</v>
      </c>
      <c r="S235">
        <v>0</v>
      </c>
      <c r="T235">
        <v>0</v>
      </c>
      <c r="U235">
        <v>0</v>
      </c>
      <c r="V235">
        <v>0</v>
      </c>
      <c r="W235">
        <v>0</v>
      </c>
      <c r="X235">
        <v>0</v>
      </c>
      <c r="Y235">
        <v>7</v>
      </c>
      <c r="Z235">
        <v>18</v>
      </c>
      <c r="AA235">
        <v>26</v>
      </c>
      <c r="AB235">
        <v>36</v>
      </c>
      <c r="AC235">
        <v>48</v>
      </c>
      <c r="AD235">
        <v>56</v>
      </c>
      <c r="AE235">
        <v>67</v>
      </c>
      <c r="AF235">
        <v>81</v>
      </c>
      <c r="AG235">
        <v>105</v>
      </c>
      <c r="AH235">
        <v>159</v>
      </c>
      <c r="AI235">
        <v>211</v>
      </c>
      <c r="AJ235">
        <v>271</v>
      </c>
      <c r="AK235">
        <v>320</v>
      </c>
      <c r="AL235">
        <v>372</v>
      </c>
      <c r="AM235">
        <v>443</v>
      </c>
      <c r="AN235">
        <v>534</v>
      </c>
      <c r="AO235">
        <v>606</v>
      </c>
      <c r="AP235">
        <v>701</v>
      </c>
      <c r="AQ235">
        <v>818</v>
      </c>
      <c r="AR235">
        <v>938</v>
      </c>
      <c r="AS235">
        <v>1033</v>
      </c>
      <c r="AT235">
        <v>1134</v>
      </c>
      <c r="AU235">
        <v>1251</v>
      </c>
      <c r="AV235">
        <v>1376</v>
      </c>
      <c r="AW235">
        <v>1556</v>
      </c>
      <c r="AX235">
        <v>1749</v>
      </c>
      <c r="AY235">
        <v>1962</v>
      </c>
      <c r="AZ235">
        <v>2179</v>
      </c>
      <c r="BA235">
        <v>2445</v>
      </c>
      <c r="BB235">
        <v>2729</v>
      </c>
      <c r="BC235">
        <v>3107</v>
      </c>
      <c r="BD235">
        <v>3414</v>
      </c>
      <c r="BE235">
        <v>3790</v>
      </c>
      <c r="BF235">
        <v>4128</v>
      </c>
      <c r="BG235">
        <v>4431</v>
      </c>
      <c r="BH235">
        <v>4672</v>
      </c>
      <c r="BI235">
        <v>4915</v>
      </c>
      <c r="BJ235">
        <v>5131</v>
      </c>
      <c r="BK235">
        <v>5406</v>
      </c>
      <c r="BL235">
        <v>5645</v>
      </c>
      <c r="BM235">
        <v>5924</v>
      </c>
      <c r="BN235">
        <v>6185</v>
      </c>
      <c r="BO235">
        <v>6459</v>
      </c>
      <c r="BP235">
        <v>6715</v>
      </c>
      <c r="BQ235">
        <v>6970</v>
      </c>
      <c r="BR235">
        <v>7264</v>
      </c>
      <c r="BS235">
        <v>7578</v>
      </c>
      <c r="BT235">
        <v>7797</v>
      </c>
      <c r="BU235">
        <v>8027</v>
      </c>
      <c r="BV235">
        <v>8215</v>
      </c>
      <c r="BW235">
        <v>8373</v>
      </c>
      <c r="BX235">
        <v>8478</v>
      </c>
      <c r="BY235">
        <v>8590</v>
      </c>
      <c r="BZ235">
        <v>8657</v>
      </c>
      <c r="CA235">
        <v>8689</v>
      </c>
      <c r="CB235">
        <v>8711</v>
      </c>
      <c r="CC235">
        <v>8735</v>
      </c>
      <c r="CD235">
        <v>8753</v>
      </c>
      <c r="CE235">
        <v>8759</v>
      </c>
      <c r="CF235">
        <v>8760</v>
      </c>
      <c r="CG235">
        <v>8760</v>
      </c>
      <c r="CH235">
        <v>8760</v>
      </c>
      <c r="CI235">
        <v>8760</v>
      </c>
      <c r="CJ235">
        <v>8760</v>
      </c>
      <c r="CK235">
        <v>8760</v>
      </c>
      <c r="CL235">
        <v>8760</v>
      </c>
      <c r="CM235">
        <v>8760</v>
      </c>
      <c r="CN235">
        <v>8760</v>
      </c>
      <c r="CO235">
        <v>8760</v>
      </c>
      <c r="CP235">
        <v>8760</v>
      </c>
      <c r="CQ235">
        <v>8760</v>
      </c>
      <c r="CR235">
        <v>8760</v>
      </c>
      <c r="CS235">
        <v>8760</v>
      </c>
      <c r="CT235">
        <v>8760</v>
      </c>
      <c r="CU235">
        <v>8760</v>
      </c>
      <c r="CV235">
        <v>8760</v>
      </c>
      <c r="CW235">
        <v>8760</v>
      </c>
      <c r="CX235">
        <v>8760</v>
      </c>
      <c r="CY235">
        <v>8760</v>
      </c>
      <c r="CZ235">
        <v>8760</v>
      </c>
      <c r="DA235">
        <v>8760</v>
      </c>
      <c r="DB235">
        <v>8760</v>
      </c>
    </row>
    <row r="236" spans="1:106" x14ac:dyDescent="0.25">
      <c r="A236" s="13" t="s">
        <v>253</v>
      </c>
      <c r="B236" t="s">
        <v>250</v>
      </c>
      <c r="C236" t="s">
        <v>438</v>
      </c>
      <c r="D236" t="s">
        <v>826</v>
      </c>
      <c r="E236" t="s">
        <v>827</v>
      </c>
      <c r="F236">
        <v>102635</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4</v>
      </c>
      <c r="AJ236">
        <v>5</v>
      </c>
      <c r="AK236">
        <v>23</v>
      </c>
      <c r="AL236">
        <v>33</v>
      </c>
      <c r="AM236">
        <v>52</v>
      </c>
      <c r="AN236">
        <v>69</v>
      </c>
      <c r="AO236">
        <v>95</v>
      </c>
      <c r="AP236">
        <v>117</v>
      </c>
      <c r="AQ236">
        <v>158</v>
      </c>
      <c r="AR236">
        <v>182</v>
      </c>
      <c r="AS236">
        <v>226</v>
      </c>
      <c r="AT236">
        <v>277</v>
      </c>
      <c r="AU236">
        <v>347</v>
      </c>
      <c r="AV236">
        <v>431</v>
      </c>
      <c r="AW236">
        <v>536</v>
      </c>
      <c r="AX236">
        <v>698</v>
      </c>
      <c r="AY236">
        <v>899</v>
      </c>
      <c r="AZ236">
        <v>1101</v>
      </c>
      <c r="BA236">
        <v>1353</v>
      </c>
      <c r="BB236">
        <v>1677</v>
      </c>
      <c r="BC236">
        <v>1984</v>
      </c>
      <c r="BD236">
        <v>2343</v>
      </c>
      <c r="BE236">
        <v>2711</v>
      </c>
      <c r="BF236">
        <v>3121</v>
      </c>
      <c r="BG236">
        <v>3492</v>
      </c>
      <c r="BH236">
        <v>3881</v>
      </c>
      <c r="BI236">
        <v>4261</v>
      </c>
      <c r="BJ236">
        <v>4588</v>
      </c>
      <c r="BK236">
        <v>4863</v>
      </c>
      <c r="BL236">
        <v>5129</v>
      </c>
      <c r="BM236">
        <v>5421</v>
      </c>
      <c r="BN236">
        <v>5748</v>
      </c>
      <c r="BO236">
        <v>6087</v>
      </c>
      <c r="BP236">
        <v>6456</v>
      </c>
      <c r="BQ236">
        <v>6785</v>
      </c>
      <c r="BR236">
        <v>7111</v>
      </c>
      <c r="BS236">
        <v>7450</v>
      </c>
      <c r="BT236">
        <v>7725</v>
      </c>
      <c r="BU236">
        <v>7963</v>
      </c>
      <c r="BV236">
        <v>8176</v>
      </c>
      <c r="BW236">
        <v>8344</v>
      </c>
      <c r="BX236">
        <v>8481</v>
      </c>
      <c r="BY236">
        <v>8573</v>
      </c>
      <c r="BZ236">
        <v>8635</v>
      </c>
      <c r="CA236">
        <v>8691</v>
      </c>
      <c r="CB236">
        <v>8727</v>
      </c>
      <c r="CC236">
        <v>8746</v>
      </c>
      <c r="CD236">
        <v>8759</v>
      </c>
      <c r="CE236">
        <v>8760</v>
      </c>
      <c r="CF236">
        <v>8760</v>
      </c>
      <c r="CG236">
        <v>8760</v>
      </c>
      <c r="CH236">
        <v>8760</v>
      </c>
      <c r="CI236">
        <v>8760</v>
      </c>
      <c r="CJ236">
        <v>8760</v>
      </c>
      <c r="CK236">
        <v>8760</v>
      </c>
      <c r="CL236">
        <v>8760</v>
      </c>
      <c r="CM236">
        <v>8760</v>
      </c>
      <c r="CN236">
        <v>8760</v>
      </c>
      <c r="CO236">
        <v>8760</v>
      </c>
      <c r="CP236">
        <v>8760</v>
      </c>
      <c r="CQ236">
        <v>8760</v>
      </c>
      <c r="CR236">
        <v>8760</v>
      </c>
      <c r="CS236">
        <v>8760</v>
      </c>
      <c r="CT236">
        <v>8760</v>
      </c>
      <c r="CU236">
        <v>8760</v>
      </c>
      <c r="CV236">
        <v>8760</v>
      </c>
      <c r="CW236">
        <v>8760</v>
      </c>
      <c r="CX236">
        <v>8760</v>
      </c>
      <c r="CY236">
        <v>8760</v>
      </c>
      <c r="CZ236">
        <v>8760</v>
      </c>
      <c r="DA236">
        <v>8760</v>
      </c>
      <c r="DB236">
        <v>8760</v>
      </c>
    </row>
    <row r="237" spans="1:106" x14ac:dyDescent="0.25">
      <c r="A237" s="13" t="s">
        <v>254</v>
      </c>
      <c r="B237" t="s">
        <v>414</v>
      </c>
    </row>
    <row r="238" spans="1:106" x14ac:dyDescent="0.25">
      <c r="A238" s="13" t="s">
        <v>255</v>
      </c>
      <c r="B238" t="s">
        <v>252</v>
      </c>
      <c r="C238" t="s">
        <v>438</v>
      </c>
      <c r="D238" t="s">
        <v>828</v>
      </c>
      <c r="E238" t="s">
        <v>583</v>
      </c>
      <c r="F238">
        <v>102137</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7</v>
      </c>
      <c r="AR238">
        <v>11</v>
      </c>
      <c r="AS238">
        <v>13</v>
      </c>
      <c r="AT238">
        <v>20</v>
      </c>
      <c r="AU238">
        <v>36</v>
      </c>
      <c r="AV238">
        <v>54</v>
      </c>
      <c r="AW238">
        <v>88</v>
      </c>
      <c r="AX238">
        <v>116</v>
      </c>
      <c r="AY238">
        <v>153</v>
      </c>
      <c r="AZ238">
        <v>218</v>
      </c>
      <c r="BA238">
        <v>316</v>
      </c>
      <c r="BB238">
        <v>477</v>
      </c>
      <c r="BC238">
        <v>699</v>
      </c>
      <c r="BD238">
        <v>957</v>
      </c>
      <c r="BE238">
        <v>1289</v>
      </c>
      <c r="BF238">
        <v>1722</v>
      </c>
      <c r="BG238">
        <v>2195</v>
      </c>
      <c r="BH238">
        <v>2680</v>
      </c>
      <c r="BI238">
        <v>3085</v>
      </c>
      <c r="BJ238">
        <v>3478</v>
      </c>
      <c r="BK238">
        <v>3855</v>
      </c>
      <c r="BL238">
        <v>4202</v>
      </c>
      <c r="BM238">
        <v>4574</v>
      </c>
      <c r="BN238">
        <v>5015</v>
      </c>
      <c r="BO238">
        <v>5444</v>
      </c>
      <c r="BP238">
        <v>5865</v>
      </c>
      <c r="BQ238">
        <v>6334</v>
      </c>
      <c r="BR238">
        <v>6783</v>
      </c>
      <c r="BS238">
        <v>7178</v>
      </c>
      <c r="BT238">
        <v>7541</v>
      </c>
      <c r="BU238">
        <v>7860</v>
      </c>
      <c r="BV238">
        <v>8121</v>
      </c>
      <c r="BW238">
        <v>8290</v>
      </c>
      <c r="BX238">
        <v>8437</v>
      </c>
      <c r="BY238">
        <v>8540</v>
      </c>
      <c r="BZ238">
        <v>8613</v>
      </c>
      <c r="CA238">
        <v>8663</v>
      </c>
      <c r="CB238">
        <v>8699</v>
      </c>
      <c r="CC238">
        <v>8713</v>
      </c>
      <c r="CD238">
        <v>8734</v>
      </c>
      <c r="CE238">
        <v>8740</v>
      </c>
      <c r="CF238">
        <v>8752</v>
      </c>
      <c r="CG238">
        <v>8756</v>
      </c>
      <c r="CH238">
        <v>8760</v>
      </c>
      <c r="CI238">
        <v>8760</v>
      </c>
      <c r="CJ238">
        <v>8760</v>
      </c>
      <c r="CK238">
        <v>8760</v>
      </c>
      <c r="CL238">
        <v>8760</v>
      </c>
      <c r="CM238">
        <v>8760</v>
      </c>
      <c r="CN238">
        <v>8760</v>
      </c>
      <c r="CO238">
        <v>8760</v>
      </c>
      <c r="CP238">
        <v>8760</v>
      </c>
      <c r="CQ238">
        <v>8760</v>
      </c>
      <c r="CR238">
        <v>8760</v>
      </c>
      <c r="CS238">
        <v>8760</v>
      </c>
      <c r="CT238">
        <v>8760</v>
      </c>
      <c r="CU238">
        <v>8760</v>
      </c>
      <c r="CV238">
        <v>8760</v>
      </c>
      <c r="CW238">
        <v>8760</v>
      </c>
      <c r="CX238">
        <v>8760</v>
      </c>
      <c r="CY238">
        <v>8760</v>
      </c>
      <c r="CZ238">
        <v>8760</v>
      </c>
      <c r="DA238">
        <v>8760</v>
      </c>
      <c r="DB238">
        <v>8760</v>
      </c>
    </row>
    <row r="239" spans="1:106" x14ac:dyDescent="0.25">
      <c r="A239" s="13" t="s">
        <v>256</v>
      </c>
      <c r="B239" t="s">
        <v>253</v>
      </c>
      <c r="C239" t="s">
        <v>438</v>
      </c>
      <c r="D239" t="s">
        <v>829</v>
      </c>
      <c r="E239" t="s">
        <v>830</v>
      </c>
      <c r="F239">
        <v>102630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1</v>
      </c>
      <c r="AO239">
        <v>5</v>
      </c>
      <c r="AP239">
        <v>11</v>
      </c>
      <c r="AQ239">
        <v>25</v>
      </c>
      <c r="AR239">
        <v>51</v>
      </c>
      <c r="AS239">
        <v>89</v>
      </c>
      <c r="AT239">
        <v>154</v>
      </c>
      <c r="AU239">
        <v>216</v>
      </c>
      <c r="AV239">
        <v>319</v>
      </c>
      <c r="AW239">
        <v>437</v>
      </c>
      <c r="AX239">
        <v>532</v>
      </c>
      <c r="AY239">
        <v>626</v>
      </c>
      <c r="AZ239">
        <v>781</v>
      </c>
      <c r="BA239">
        <v>968</v>
      </c>
      <c r="BB239">
        <v>1240</v>
      </c>
      <c r="BC239">
        <v>1563</v>
      </c>
      <c r="BD239">
        <v>1941</v>
      </c>
      <c r="BE239">
        <v>2465</v>
      </c>
      <c r="BF239">
        <v>2924</v>
      </c>
      <c r="BG239">
        <v>3408</v>
      </c>
      <c r="BH239">
        <v>3841</v>
      </c>
      <c r="BI239">
        <v>4224</v>
      </c>
      <c r="BJ239">
        <v>4549</v>
      </c>
      <c r="BK239">
        <v>4896</v>
      </c>
      <c r="BL239">
        <v>5197</v>
      </c>
      <c r="BM239">
        <v>5533</v>
      </c>
      <c r="BN239">
        <v>5835</v>
      </c>
      <c r="BO239">
        <v>6114</v>
      </c>
      <c r="BP239">
        <v>6446</v>
      </c>
      <c r="BQ239">
        <v>6792</v>
      </c>
      <c r="BR239">
        <v>7126</v>
      </c>
      <c r="BS239">
        <v>7417</v>
      </c>
      <c r="BT239">
        <v>7699</v>
      </c>
      <c r="BU239">
        <v>7952</v>
      </c>
      <c r="BV239">
        <v>8175</v>
      </c>
      <c r="BW239">
        <v>8326</v>
      </c>
      <c r="BX239">
        <v>8453</v>
      </c>
      <c r="BY239">
        <v>8541</v>
      </c>
      <c r="BZ239">
        <v>8602</v>
      </c>
      <c r="CA239">
        <v>8645</v>
      </c>
      <c r="CB239">
        <v>8696</v>
      </c>
      <c r="CC239">
        <v>8731</v>
      </c>
      <c r="CD239">
        <v>8754</v>
      </c>
      <c r="CE239">
        <v>8758</v>
      </c>
      <c r="CF239">
        <v>8759</v>
      </c>
      <c r="CG239">
        <v>8760</v>
      </c>
      <c r="CH239">
        <v>8760</v>
      </c>
      <c r="CI239">
        <v>8760</v>
      </c>
      <c r="CJ239">
        <v>8760</v>
      </c>
      <c r="CK239">
        <v>8760</v>
      </c>
      <c r="CL239">
        <v>8760</v>
      </c>
      <c r="CM239">
        <v>8760</v>
      </c>
      <c r="CN239">
        <v>8760</v>
      </c>
      <c r="CO239">
        <v>8760</v>
      </c>
      <c r="CP239">
        <v>8760</v>
      </c>
      <c r="CQ239">
        <v>8760</v>
      </c>
      <c r="CR239">
        <v>8760</v>
      </c>
      <c r="CS239">
        <v>8760</v>
      </c>
      <c r="CT239">
        <v>8760</v>
      </c>
      <c r="CU239">
        <v>8760</v>
      </c>
      <c r="CV239">
        <v>8760</v>
      </c>
      <c r="CW239">
        <v>8760</v>
      </c>
      <c r="CX239">
        <v>8760</v>
      </c>
      <c r="CY239">
        <v>8760</v>
      </c>
      <c r="CZ239">
        <v>8760</v>
      </c>
      <c r="DA239">
        <v>8760</v>
      </c>
      <c r="DB239">
        <v>8760</v>
      </c>
    </row>
    <row r="240" spans="1:106" x14ac:dyDescent="0.25">
      <c r="A240" s="13" t="s">
        <v>257</v>
      </c>
      <c r="B240" t="s">
        <v>251</v>
      </c>
      <c r="C240" t="s">
        <v>438</v>
      </c>
      <c r="D240" t="s">
        <v>831</v>
      </c>
      <c r="E240" t="s">
        <v>832</v>
      </c>
      <c r="F240">
        <v>102216</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4</v>
      </c>
      <c r="AK240">
        <v>5</v>
      </c>
      <c r="AL240">
        <v>13</v>
      </c>
      <c r="AM240">
        <v>22</v>
      </c>
      <c r="AN240">
        <v>27</v>
      </c>
      <c r="AO240">
        <v>36</v>
      </c>
      <c r="AP240">
        <v>44</v>
      </c>
      <c r="AQ240">
        <v>75</v>
      </c>
      <c r="AR240">
        <v>123</v>
      </c>
      <c r="AS240">
        <v>182</v>
      </c>
      <c r="AT240">
        <v>230</v>
      </c>
      <c r="AU240">
        <v>274</v>
      </c>
      <c r="AV240">
        <v>313</v>
      </c>
      <c r="AW240">
        <v>375</v>
      </c>
      <c r="AX240">
        <v>460</v>
      </c>
      <c r="AY240">
        <v>564</v>
      </c>
      <c r="AZ240">
        <v>713</v>
      </c>
      <c r="BA240">
        <v>903</v>
      </c>
      <c r="BB240">
        <v>1174</v>
      </c>
      <c r="BC240">
        <v>1537</v>
      </c>
      <c r="BD240">
        <v>1955</v>
      </c>
      <c r="BE240">
        <v>2472</v>
      </c>
      <c r="BF240">
        <v>2915</v>
      </c>
      <c r="BG240">
        <v>3297</v>
      </c>
      <c r="BH240">
        <v>3650</v>
      </c>
      <c r="BI240">
        <v>3956</v>
      </c>
      <c r="BJ240">
        <v>4271</v>
      </c>
      <c r="BK240">
        <v>4646</v>
      </c>
      <c r="BL240">
        <v>4939</v>
      </c>
      <c r="BM240">
        <v>5247</v>
      </c>
      <c r="BN240">
        <v>5612</v>
      </c>
      <c r="BO240">
        <v>5975</v>
      </c>
      <c r="BP240">
        <v>6317</v>
      </c>
      <c r="BQ240">
        <v>6668</v>
      </c>
      <c r="BR240">
        <v>7020</v>
      </c>
      <c r="BS240">
        <v>7349</v>
      </c>
      <c r="BT240">
        <v>7667</v>
      </c>
      <c r="BU240">
        <v>7905</v>
      </c>
      <c r="BV240">
        <v>8133</v>
      </c>
      <c r="BW240">
        <v>8313</v>
      </c>
      <c r="BX240">
        <v>8450</v>
      </c>
      <c r="BY240">
        <v>8531</v>
      </c>
      <c r="BZ240">
        <v>8600</v>
      </c>
      <c r="CA240">
        <v>8647</v>
      </c>
      <c r="CB240">
        <v>8679</v>
      </c>
      <c r="CC240">
        <v>8707</v>
      </c>
      <c r="CD240">
        <v>8734</v>
      </c>
      <c r="CE240">
        <v>8752</v>
      </c>
      <c r="CF240">
        <v>8758</v>
      </c>
      <c r="CG240">
        <v>8760</v>
      </c>
      <c r="CH240">
        <v>8760</v>
      </c>
      <c r="CI240">
        <v>8760</v>
      </c>
      <c r="CJ240">
        <v>8760</v>
      </c>
      <c r="CK240">
        <v>8760</v>
      </c>
      <c r="CL240">
        <v>8760</v>
      </c>
      <c r="CM240">
        <v>8760</v>
      </c>
      <c r="CN240">
        <v>8760</v>
      </c>
      <c r="CO240">
        <v>8760</v>
      </c>
      <c r="CP240">
        <v>8760</v>
      </c>
      <c r="CQ240">
        <v>8760</v>
      </c>
      <c r="CR240">
        <v>8760</v>
      </c>
      <c r="CS240">
        <v>8760</v>
      </c>
      <c r="CT240">
        <v>8760</v>
      </c>
      <c r="CU240">
        <v>8760</v>
      </c>
      <c r="CV240">
        <v>8760</v>
      </c>
      <c r="CW240">
        <v>8760</v>
      </c>
      <c r="CX240">
        <v>8760</v>
      </c>
      <c r="CY240">
        <v>8760</v>
      </c>
      <c r="CZ240">
        <v>8760</v>
      </c>
      <c r="DA240">
        <v>8760</v>
      </c>
      <c r="DB240">
        <v>8760</v>
      </c>
    </row>
    <row r="241" spans="1:106" x14ac:dyDescent="0.25">
      <c r="A241" s="13" t="s">
        <v>258</v>
      </c>
      <c r="B241" t="s">
        <v>254</v>
      </c>
      <c r="C241" t="s">
        <v>438</v>
      </c>
      <c r="D241" t="s">
        <v>833</v>
      </c>
      <c r="E241" t="s">
        <v>834</v>
      </c>
      <c r="F241">
        <v>102726</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1</v>
      </c>
      <c r="AC241">
        <v>5</v>
      </c>
      <c r="AD241">
        <v>8</v>
      </c>
      <c r="AE241">
        <v>13</v>
      </c>
      <c r="AF241">
        <v>18</v>
      </c>
      <c r="AG241">
        <v>24</v>
      </c>
      <c r="AH241">
        <v>28</v>
      </c>
      <c r="AI241">
        <v>30</v>
      </c>
      <c r="AJ241">
        <v>44</v>
      </c>
      <c r="AK241">
        <v>52</v>
      </c>
      <c r="AL241">
        <v>68</v>
      </c>
      <c r="AM241">
        <v>84</v>
      </c>
      <c r="AN241">
        <v>103</v>
      </c>
      <c r="AO241">
        <v>130</v>
      </c>
      <c r="AP241">
        <v>157</v>
      </c>
      <c r="AQ241">
        <v>199</v>
      </c>
      <c r="AR241">
        <v>249</v>
      </c>
      <c r="AS241">
        <v>306</v>
      </c>
      <c r="AT241">
        <v>384</v>
      </c>
      <c r="AU241">
        <v>459</v>
      </c>
      <c r="AV241">
        <v>559</v>
      </c>
      <c r="AW241">
        <v>685</v>
      </c>
      <c r="AX241">
        <v>809</v>
      </c>
      <c r="AY241">
        <v>952</v>
      </c>
      <c r="AZ241">
        <v>1149</v>
      </c>
      <c r="BA241">
        <v>1403</v>
      </c>
      <c r="BB241">
        <v>1679</v>
      </c>
      <c r="BC241">
        <v>2008</v>
      </c>
      <c r="BD241">
        <v>2407</v>
      </c>
      <c r="BE241">
        <v>2845</v>
      </c>
      <c r="BF241">
        <v>3242</v>
      </c>
      <c r="BG241">
        <v>3572</v>
      </c>
      <c r="BH241">
        <v>3928</v>
      </c>
      <c r="BI241">
        <v>4308</v>
      </c>
      <c r="BJ241">
        <v>4588</v>
      </c>
      <c r="BK241">
        <v>4905</v>
      </c>
      <c r="BL241">
        <v>5212</v>
      </c>
      <c r="BM241">
        <v>5542</v>
      </c>
      <c r="BN241">
        <v>5898</v>
      </c>
      <c r="BO241">
        <v>6297</v>
      </c>
      <c r="BP241">
        <v>6606</v>
      </c>
      <c r="BQ241">
        <v>6933</v>
      </c>
      <c r="BR241">
        <v>7268</v>
      </c>
      <c r="BS241">
        <v>7544</v>
      </c>
      <c r="BT241">
        <v>7811</v>
      </c>
      <c r="BU241">
        <v>8006</v>
      </c>
      <c r="BV241">
        <v>8181</v>
      </c>
      <c r="BW241">
        <v>8324</v>
      </c>
      <c r="BX241">
        <v>8441</v>
      </c>
      <c r="BY241">
        <v>8534</v>
      </c>
      <c r="BZ241">
        <v>8612</v>
      </c>
      <c r="CA241">
        <v>8675</v>
      </c>
      <c r="CB241">
        <v>8704</v>
      </c>
      <c r="CC241">
        <v>8718</v>
      </c>
      <c r="CD241">
        <v>8737</v>
      </c>
      <c r="CE241">
        <v>8748</v>
      </c>
      <c r="CF241">
        <v>8757</v>
      </c>
      <c r="CG241">
        <v>8760</v>
      </c>
      <c r="CH241">
        <v>8760</v>
      </c>
      <c r="CI241">
        <v>8760</v>
      </c>
      <c r="CJ241">
        <v>8760</v>
      </c>
      <c r="CK241">
        <v>8760</v>
      </c>
      <c r="CL241">
        <v>8760</v>
      </c>
      <c r="CM241">
        <v>8760</v>
      </c>
      <c r="CN241">
        <v>8760</v>
      </c>
      <c r="CO241">
        <v>8760</v>
      </c>
      <c r="CP241">
        <v>8760</v>
      </c>
      <c r="CQ241">
        <v>8760</v>
      </c>
      <c r="CR241">
        <v>8760</v>
      </c>
      <c r="CS241">
        <v>8760</v>
      </c>
      <c r="CT241">
        <v>8760</v>
      </c>
      <c r="CU241">
        <v>8760</v>
      </c>
      <c r="CV241">
        <v>8760</v>
      </c>
      <c r="CW241">
        <v>8760</v>
      </c>
      <c r="CX241">
        <v>8760</v>
      </c>
      <c r="CY241">
        <v>8760</v>
      </c>
      <c r="CZ241">
        <v>8760</v>
      </c>
      <c r="DA241">
        <v>8760</v>
      </c>
      <c r="DB241">
        <v>8760</v>
      </c>
    </row>
    <row r="242" spans="1:106" x14ac:dyDescent="0.25">
      <c r="A242" s="13" t="s">
        <v>259</v>
      </c>
      <c r="B242" t="s">
        <v>258</v>
      </c>
      <c r="C242" t="s">
        <v>438</v>
      </c>
      <c r="D242" t="s">
        <v>835</v>
      </c>
      <c r="E242" t="s">
        <v>836</v>
      </c>
      <c r="F242">
        <v>102812</v>
      </c>
      <c r="G242">
        <v>0</v>
      </c>
      <c r="H242">
        <v>0</v>
      </c>
      <c r="I242">
        <v>0</v>
      </c>
      <c r="J242">
        <v>0</v>
      </c>
      <c r="K242">
        <v>0</v>
      </c>
      <c r="L242">
        <v>0</v>
      </c>
      <c r="M242">
        <v>0</v>
      </c>
      <c r="N242">
        <v>0</v>
      </c>
      <c r="O242">
        <v>0</v>
      </c>
      <c r="P242">
        <v>0</v>
      </c>
      <c r="Q242">
        <v>0</v>
      </c>
      <c r="R242">
        <v>0</v>
      </c>
      <c r="S242">
        <v>0</v>
      </c>
      <c r="T242">
        <v>0</v>
      </c>
      <c r="U242">
        <v>0</v>
      </c>
      <c r="V242">
        <v>0</v>
      </c>
      <c r="W242">
        <v>0</v>
      </c>
      <c r="X242">
        <v>0</v>
      </c>
      <c r="Y242">
        <v>0</v>
      </c>
      <c r="Z242">
        <v>3</v>
      </c>
      <c r="AA242">
        <v>8</v>
      </c>
      <c r="AB242">
        <v>19</v>
      </c>
      <c r="AC242">
        <v>23</v>
      </c>
      <c r="AD242">
        <v>28</v>
      </c>
      <c r="AE242">
        <v>32</v>
      </c>
      <c r="AF242">
        <v>46</v>
      </c>
      <c r="AG242">
        <v>70</v>
      </c>
      <c r="AH242">
        <v>98</v>
      </c>
      <c r="AI242">
        <v>152</v>
      </c>
      <c r="AJ242">
        <v>186</v>
      </c>
      <c r="AK242">
        <v>231</v>
      </c>
      <c r="AL242">
        <v>265</v>
      </c>
      <c r="AM242">
        <v>320</v>
      </c>
      <c r="AN242">
        <v>373</v>
      </c>
      <c r="AO242">
        <v>445</v>
      </c>
      <c r="AP242">
        <v>501</v>
      </c>
      <c r="AQ242">
        <v>580</v>
      </c>
      <c r="AR242">
        <v>671</v>
      </c>
      <c r="AS242">
        <v>755</v>
      </c>
      <c r="AT242">
        <v>844</v>
      </c>
      <c r="AU242">
        <v>990</v>
      </c>
      <c r="AV242">
        <v>1126</v>
      </c>
      <c r="AW242">
        <v>1281</v>
      </c>
      <c r="AX242">
        <v>1472</v>
      </c>
      <c r="AY242">
        <v>1660</v>
      </c>
      <c r="AZ242">
        <v>1867</v>
      </c>
      <c r="BA242">
        <v>2125</v>
      </c>
      <c r="BB242">
        <v>2460</v>
      </c>
      <c r="BC242">
        <v>2831</v>
      </c>
      <c r="BD242">
        <v>3236</v>
      </c>
      <c r="BE242">
        <v>3639</v>
      </c>
      <c r="BF242">
        <v>4026</v>
      </c>
      <c r="BG242">
        <v>4379</v>
      </c>
      <c r="BH242">
        <v>4683</v>
      </c>
      <c r="BI242">
        <v>4927</v>
      </c>
      <c r="BJ242">
        <v>5194</v>
      </c>
      <c r="BK242">
        <v>5490</v>
      </c>
      <c r="BL242">
        <v>5772</v>
      </c>
      <c r="BM242">
        <v>6071</v>
      </c>
      <c r="BN242">
        <v>6387</v>
      </c>
      <c r="BO242">
        <v>6701</v>
      </c>
      <c r="BP242">
        <v>7004</v>
      </c>
      <c r="BQ242">
        <v>7264</v>
      </c>
      <c r="BR242">
        <v>7543</v>
      </c>
      <c r="BS242">
        <v>7795</v>
      </c>
      <c r="BT242">
        <v>8022</v>
      </c>
      <c r="BU242">
        <v>8204</v>
      </c>
      <c r="BV242">
        <v>8367</v>
      </c>
      <c r="BW242">
        <v>8469</v>
      </c>
      <c r="BX242">
        <v>8576</v>
      </c>
      <c r="BY242">
        <v>8633</v>
      </c>
      <c r="BZ242">
        <v>8687</v>
      </c>
      <c r="CA242">
        <v>8718</v>
      </c>
      <c r="CB242">
        <v>8739</v>
      </c>
      <c r="CC242">
        <v>8747</v>
      </c>
      <c r="CD242">
        <v>8758</v>
      </c>
      <c r="CE242">
        <v>8760</v>
      </c>
      <c r="CF242">
        <v>8760</v>
      </c>
      <c r="CG242">
        <v>8760</v>
      </c>
      <c r="CH242">
        <v>8760</v>
      </c>
      <c r="CI242">
        <v>8760</v>
      </c>
      <c r="CJ242">
        <v>8760</v>
      </c>
      <c r="CK242">
        <v>8760</v>
      </c>
      <c r="CL242">
        <v>8760</v>
      </c>
      <c r="CM242">
        <v>8760</v>
      </c>
      <c r="CN242">
        <v>8760</v>
      </c>
      <c r="CO242">
        <v>8760</v>
      </c>
      <c r="CP242">
        <v>8760</v>
      </c>
      <c r="CQ242">
        <v>8760</v>
      </c>
      <c r="CR242">
        <v>8760</v>
      </c>
      <c r="CS242">
        <v>8760</v>
      </c>
      <c r="CT242">
        <v>8760</v>
      </c>
      <c r="CU242">
        <v>8760</v>
      </c>
      <c r="CV242">
        <v>8760</v>
      </c>
      <c r="CW242">
        <v>8760</v>
      </c>
      <c r="CX242">
        <v>8760</v>
      </c>
      <c r="CY242">
        <v>8760</v>
      </c>
      <c r="CZ242">
        <v>8760</v>
      </c>
      <c r="DA242">
        <v>8760</v>
      </c>
      <c r="DB242">
        <v>8760</v>
      </c>
    </row>
    <row r="243" spans="1:106" x14ac:dyDescent="0.25">
      <c r="A243" s="13" t="s">
        <v>260</v>
      </c>
      <c r="B243" t="s">
        <v>259</v>
      </c>
      <c r="C243" t="s">
        <v>438</v>
      </c>
      <c r="D243" t="s">
        <v>837</v>
      </c>
      <c r="E243" t="s">
        <v>838</v>
      </c>
      <c r="F243">
        <v>102628</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7</v>
      </c>
      <c r="AO243">
        <v>11</v>
      </c>
      <c r="AP243">
        <v>17</v>
      </c>
      <c r="AQ243">
        <v>29</v>
      </c>
      <c r="AR243">
        <v>54</v>
      </c>
      <c r="AS243">
        <v>82</v>
      </c>
      <c r="AT243">
        <v>112</v>
      </c>
      <c r="AU243">
        <v>171</v>
      </c>
      <c r="AV243">
        <v>230</v>
      </c>
      <c r="AW243">
        <v>326</v>
      </c>
      <c r="AX243">
        <v>424</v>
      </c>
      <c r="AY243">
        <v>558</v>
      </c>
      <c r="AZ243">
        <v>698</v>
      </c>
      <c r="BA243">
        <v>842</v>
      </c>
      <c r="BB243">
        <v>1042</v>
      </c>
      <c r="BC243">
        <v>1315</v>
      </c>
      <c r="BD243">
        <v>1667</v>
      </c>
      <c r="BE243">
        <v>2167</v>
      </c>
      <c r="BF243">
        <v>2609</v>
      </c>
      <c r="BG243">
        <v>3012</v>
      </c>
      <c r="BH243">
        <v>3357</v>
      </c>
      <c r="BI243">
        <v>3795</v>
      </c>
      <c r="BJ243">
        <v>4225</v>
      </c>
      <c r="BK243">
        <v>4575</v>
      </c>
      <c r="BL243">
        <v>4889</v>
      </c>
      <c r="BM243">
        <v>5170</v>
      </c>
      <c r="BN243">
        <v>5463</v>
      </c>
      <c r="BO243">
        <v>5737</v>
      </c>
      <c r="BP243">
        <v>6067</v>
      </c>
      <c r="BQ243">
        <v>6395</v>
      </c>
      <c r="BR243">
        <v>6762</v>
      </c>
      <c r="BS243">
        <v>7166</v>
      </c>
      <c r="BT243">
        <v>7470</v>
      </c>
      <c r="BU243">
        <v>7744</v>
      </c>
      <c r="BV243">
        <v>7995</v>
      </c>
      <c r="BW243">
        <v>8180</v>
      </c>
      <c r="BX243">
        <v>8336</v>
      </c>
      <c r="BY243">
        <v>8466</v>
      </c>
      <c r="BZ243">
        <v>8575</v>
      </c>
      <c r="CA243">
        <v>8640</v>
      </c>
      <c r="CB243">
        <v>8690</v>
      </c>
      <c r="CC243">
        <v>8722</v>
      </c>
      <c r="CD243">
        <v>8738</v>
      </c>
      <c r="CE243">
        <v>8743</v>
      </c>
      <c r="CF243">
        <v>8752</v>
      </c>
      <c r="CG243">
        <v>8757</v>
      </c>
      <c r="CH243">
        <v>8760</v>
      </c>
      <c r="CI243">
        <v>8760</v>
      </c>
      <c r="CJ243">
        <v>8760</v>
      </c>
      <c r="CK243">
        <v>8760</v>
      </c>
      <c r="CL243">
        <v>8760</v>
      </c>
      <c r="CM243">
        <v>8760</v>
      </c>
      <c r="CN243">
        <v>8760</v>
      </c>
      <c r="CO243">
        <v>8760</v>
      </c>
      <c r="CP243">
        <v>8760</v>
      </c>
      <c r="CQ243">
        <v>8760</v>
      </c>
      <c r="CR243">
        <v>8760</v>
      </c>
      <c r="CS243">
        <v>8760</v>
      </c>
      <c r="CT243">
        <v>8760</v>
      </c>
      <c r="CU243">
        <v>8760</v>
      </c>
      <c r="CV243">
        <v>8760</v>
      </c>
      <c r="CW243">
        <v>8760</v>
      </c>
      <c r="CX243">
        <v>8760</v>
      </c>
      <c r="CY243">
        <v>8760</v>
      </c>
      <c r="CZ243">
        <v>8760</v>
      </c>
      <c r="DA243">
        <v>8760</v>
      </c>
      <c r="DB243">
        <v>8760</v>
      </c>
    </row>
    <row r="244" spans="1:106" x14ac:dyDescent="0.25">
      <c r="A244" s="13" t="s">
        <v>261</v>
      </c>
      <c r="B244" t="s">
        <v>260</v>
      </c>
      <c r="C244" t="s">
        <v>438</v>
      </c>
      <c r="D244" t="s">
        <v>839</v>
      </c>
      <c r="E244" t="s">
        <v>840</v>
      </c>
      <c r="F244">
        <v>102641</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6</v>
      </c>
      <c r="AP244">
        <v>14</v>
      </c>
      <c r="AQ244">
        <v>16</v>
      </c>
      <c r="AR244">
        <v>19</v>
      </c>
      <c r="AS244">
        <v>27</v>
      </c>
      <c r="AT244">
        <v>39</v>
      </c>
      <c r="AU244">
        <v>53</v>
      </c>
      <c r="AV244">
        <v>95</v>
      </c>
      <c r="AW244">
        <v>148</v>
      </c>
      <c r="AX244">
        <v>245</v>
      </c>
      <c r="AY244">
        <v>380</v>
      </c>
      <c r="AZ244">
        <v>548</v>
      </c>
      <c r="BA244">
        <v>716</v>
      </c>
      <c r="BB244">
        <v>949</v>
      </c>
      <c r="BC244">
        <v>1232</v>
      </c>
      <c r="BD244">
        <v>1564</v>
      </c>
      <c r="BE244">
        <v>2022</v>
      </c>
      <c r="BF244">
        <v>2535</v>
      </c>
      <c r="BG244">
        <v>2968</v>
      </c>
      <c r="BH244">
        <v>3396</v>
      </c>
      <c r="BI244">
        <v>3810</v>
      </c>
      <c r="BJ244">
        <v>4194</v>
      </c>
      <c r="BK244">
        <v>4534</v>
      </c>
      <c r="BL244">
        <v>4864</v>
      </c>
      <c r="BM244">
        <v>5177</v>
      </c>
      <c r="BN244">
        <v>5490</v>
      </c>
      <c r="BO244">
        <v>5794</v>
      </c>
      <c r="BP244">
        <v>6137</v>
      </c>
      <c r="BQ244">
        <v>6446</v>
      </c>
      <c r="BR244">
        <v>6823</v>
      </c>
      <c r="BS244">
        <v>7178</v>
      </c>
      <c r="BT244">
        <v>7510</v>
      </c>
      <c r="BU244">
        <v>7843</v>
      </c>
      <c r="BV244">
        <v>8096</v>
      </c>
      <c r="BW244">
        <v>8308</v>
      </c>
      <c r="BX244">
        <v>8454</v>
      </c>
      <c r="BY244">
        <v>8586</v>
      </c>
      <c r="BZ244">
        <v>8677</v>
      </c>
      <c r="CA244">
        <v>8724</v>
      </c>
      <c r="CB244">
        <v>8751</v>
      </c>
      <c r="CC244">
        <v>8759</v>
      </c>
      <c r="CD244">
        <v>8760</v>
      </c>
      <c r="CE244">
        <v>8760</v>
      </c>
      <c r="CF244">
        <v>8760</v>
      </c>
      <c r="CG244">
        <v>8760</v>
      </c>
      <c r="CH244">
        <v>8760</v>
      </c>
      <c r="CI244">
        <v>8760</v>
      </c>
      <c r="CJ244">
        <v>8760</v>
      </c>
      <c r="CK244">
        <v>8760</v>
      </c>
      <c r="CL244">
        <v>8760</v>
      </c>
      <c r="CM244">
        <v>8760</v>
      </c>
      <c r="CN244">
        <v>8760</v>
      </c>
      <c r="CO244">
        <v>8760</v>
      </c>
      <c r="CP244">
        <v>8760</v>
      </c>
      <c r="CQ244">
        <v>8760</v>
      </c>
      <c r="CR244">
        <v>8760</v>
      </c>
      <c r="CS244">
        <v>8760</v>
      </c>
      <c r="CT244">
        <v>8760</v>
      </c>
      <c r="CU244">
        <v>8760</v>
      </c>
      <c r="CV244">
        <v>8760</v>
      </c>
      <c r="CW244">
        <v>8760</v>
      </c>
      <c r="CX244">
        <v>8760</v>
      </c>
      <c r="CY244">
        <v>8760</v>
      </c>
      <c r="CZ244">
        <v>8760</v>
      </c>
      <c r="DA244">
        <v>8760</v>
      </c>
      <c r="DB244">
        <v>8760</v>
      </c>
    </row>
    <row r="245" spans="1:106" x14ac:dyDescent="0.25">
      <c r="A245" s="13" t="s">
        <v>262</v>
      </c>
      <c r="B245" t="s">
        <v>262</v>
      </c>
      <c r="C245" t="s">
        <v>438</v>
      </c>
      <c r="D245" t="s">
        <v>841</v>
      </c>
      <c r="E245" t="s">
        <v>842</v>
      </c>
      <c r="F245">
        <v>102910</v>
      </c>
      <c r="G245">
        <v>0</v>
      </c>
      <c r="H245">
        <v>0</v>
      </c>
      <c r="I245">
        <v>0</v>
      </c>
      <c r="J245">
        <v>0</v>
      </c>
      <c r="K245">
        <v>0</v>
      </c>
      <c r="L245">
        <v>0</v>
      </c>
      <c r="M245">
        <v>0</v>
      </c>
      <c r="N245">
        <v>0</v>
      </c>
      <c r="O245">
        <v>0</v>
      </c>
      <c r="P245">
        <v>0</v>
      </c>
      <c r="Q245">
        <v>0</v>
      </c>
      <c r="R245">
        <v>0</v>
      </c>
      <c r="S245">
        <v>0</v>
      </c>
      <c r="T245">
        <v>1</v>
      </c>
      <c r="U245">
        <v>1</v>
      </c>
      <c r="V245">
        <v>3</v>
      </c>
      <c r="W245">
        <v>5</v>
      </c>
      <c r="X245">
        <v>13</v>
      </c>
      <c r="Y245">
        <v>18</v>
      </c>
      <c r="Z245">
        <v>25</v>
      </c>
      <c r="AA245">
        <v>31</v>
      </c>
      <c r="AB245">
        <v>45</v>
      </c>
      <c r="AC245">
        <v>61</v>
      </c>
      <c r="AD245">
        <v>80</v>
      </c>
      <c r="AE245">
        <v>102</v>
      </c>
      <c r="AF245">
        <v>132</v>
      </c>
      <c r="AG245">
        <v>154</v>
      </c>
      <c r="AH245">
        <v>189</v>
      </c>
      <c r="AI245">
        <v>243</v>
      </c>
      <c r="AJ245">
        <v>310</v>
      </c>
      <c r="AK245">
        <v>372</v>
      </c>
      <c r="AL245">
        <v>436</v>
      </c>
      <c r="AM245">
        <v>495</v>
      </c>
      <c r="AN245">
        <v>578</v>
      </c>
      <c r="AO245">
        <v>673</v>
      </c>
      <c r="AP245">
        <v>758</v>
      </c>
      <c r="AQ245">
        <v>877</v>
      </c>
      <c r="AR245">
        <v>1022</v>
      </c>
      <c r="AS245">
        <v>1164</v>
      </c>
      <c r="AT245">
        <v>1314</v>
      </c>
      <c r="AU245">
        <v>1466</v>
      </c>
      <c r="AV245">
        <v>1629</v>
      </c>
      <c r="AW245">
        <v>1824</v>
      </c>
      <c r="AX245">
        <v>2047</v>
      </c>
      <c r="AY245">
        <v>2350</v>
      </c>
      <c r="AZ245">
        <v>2669</v>
      </c>
      <c r="BA245">
        <v>2980</v>
      </c>
      <c r="BB245">
        <v>3319</v>
      </c>
      <c r="BC245">
        <v>3670</v>
      </c>
      <c r="BD245">
        <v>4041</v>
      </c>
      <c r="BE245">
        <v>4452</v>
      </c>
      <c r="BF245">
        <v>4804</v>
      </c>
      <c r="BG245">
        <v>5141</v>
      </c>
      <c r="BH245">
        <v>5431</v>
      </c>
      <c r="BI245">
        <v>5698</v>
      </c>
      <c r="BJ245">
        <v>5935</v>
      </c>
      <c r="BK245">
        <v>6187</v>
      </c>
      <c r="BL245">
        <v>6457</v>
      </c>
      <c r="BM245">
        <v>6757</v>
      </c>
      <c r="BN245">
        <v>6998</v>
      </c>
      <c r="BO245">
        <v>7263</v>
      </c>
      <c r="BP245">
        <v>7492</v>
      </c>
      <c r="BQ245">
        <v>7685</v>
      </c>
      <c r="BR245">
        <v>7879</v>
      </c>
      <c r="BS245">
        <v>8057</v>
      </c>
      <c r="BT245">
        <v>8226</v>
      </c>
      <c r="BU245">
        <v>8369</v>
      </c>
      <c r="BV245">
        <v>8486</v>
      </c>
      <c r="BW245">
        <v>8573</v>
      </c>
      <c r="BX245">
        <v>8628</v>
      </c>
      <c r="BY245">
        <v>8673</v>
      </c>
      <c r="BZ245">
        <v>8707</v>
      </c>
      <c r="CA245">
        <v>8721</v>
      </c>
      <c r="CB245">
        <v>8737</v>
      </c>
      <c r="CC245">
        <v>8743</v>
      </c>
      <c r="CD245">
        <v>8755</v>
      </c>
      <c r="CE245">
        <v>8760</v>
      </c>
      <c r="CF245">
        <v>8760</v>
      </c>
      <c r="CG245">
        <v>8760</v>
      </c>
      <c r="CH245">
        <v>8760</v>
      </c>
      <c r="CI245">
        <v>8760</v>
      </c>
      <c r="CJ245">
        <v>8760</v>
      </c>
      <c r="CK245">
        <v>8760</v>
      </c>
      <c r="CL245">
        <v>8760</v>
      </c>
      <c r="CM245">
        <v>8760</v>
      </c>
      <c r="CN245">
        <v>8760</v>
      </c>
      <c r="CO245">
        <v>8760</v>
      </c>
      <c r="CP245">
        <v>8760</v>
      </c>
      <c r="CQ245">
        <v>8760</v>
      </c>
      <c r="CR245">
        <v>8760</v>
      </c>
      <c r="CS245">
        <v>8760</v>
      </c>
      <c r="CT245">
        <v>8760</v>
      </c>
      <c r="CU245">
        <v>8760</v>
      </c>
      <c r="CV245">
        <v>8760</v>
      </c>
      <c r="CW245">
        <v>8760</v>
      </c>
      <c r="CX245">
        <v>8760</v>
      </c>
      <c r="CY245">
        <v>8760</v>
      </c>
      <c r="CZ245">
        <v>8760</v>
      </c>
      <c r="DA245">
        <v>8760</v>
      </c>
      <c r="DB245">
        <v>8760</v>
      </c>
    </row>
    <row r="246" spans="1:106" x14ac:dyDescent="0.25">
      <c r="A246" s="13" t="s">
        <v>263</v>
      </c>
      <c r="B246" t="s">
        <v>263</v>
      </c>
      <c r="C246" t="s">
        <v>438</v>
      </c>
      <c r="D246" t="s">
        <v>843</v>
      </c>
      <c r="E246" t="s">
        <v>844</v>
      </c>
      <c r="F246">
        <v>102235</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2</v>
      </c>
      <c r="AU246">
        <v>22</v>
      </c>
      <c r="AV246">
        <v>79</v>
      </c>
      <c r="AW246">
        <v>111</v>
      </c>
      <c r="AX246">
        <v>154</v>
      </c>
      <c r="AY246">
        <v>199</v>
      </c>
      <c r="AZ246">
        <v>269</v>
      </c>
      <c r="BA246">
        <v>340</v>
      </c>
      <c r="BB246">
        <v>431</v>
      </c>
      <c r="BC246">
        <v>620</v>
      </c>
      <c r="BD246">
        <v>901</v>
      </c>
      <c r="BE246">
        <v>1291</v>
      </c>
      <c r="BF246">
        <v>1710</v>
      </c>
      <c r="BG246">
        <v>2256</v>
      </c>
      <c r="BH246">
        <v>2785</v>
      </c>
      <c r="BI246">
        <v>3293</v>
      </c>
      <c r="BJ246">
        <v>3679</v>
      </c>
      <c r="BK246">
        <v>3994</v>
      </c>
      <c r="BL246">
        <v>4248</v>
      </c>
      <c r="BM246">
        <v>4639</v>
      </c>
      <c r="BN246">
        <v>4945</v>
      </c>
      <c r="BO246">
        <v>5294</v>
      </c>
      <c r="BP246">
        <v>5748</v>
      </c>
      <c r="BQ246">
        <v>6157</v>
      </c>
      <c r="BR246">
        <v>6578</v>
      </c>
      <c r="BS246">
        <v>6994</v>
      </c>
      <c r="BT246">
        <v>7456</v>
      </c>
      <c r="BU246">
        <v>7858</v>
      </c>
      <c r="BV246">
        <v>8188</v>
      </c>
      <c r="BW246">
        <v>8393</v>
      </c>
      <c r="BX246">
        <v>8547</v>
      </c>
      <c r="BY246">
        <v>8651</v>
      </c>
      <c r="BZ246">
        <v>8704</v>
      </c>
      <c r="CA246">
        <v>8735</v>
      </c>
      <c r="CB246">
        <v>8749</v>
      </c>
      <c r="CC246">
        <v>8760</v>
      </c>
      <c r="CD246">
        <v>8760</v>
      </c>
      <c r="CE246">
        <v>8760</v>
      </c>
      <c r="CF246">
        <v>8760</v>
      </c>
      <c r="CG246">
        <v>8760</v>
      </c>
      <c r="CH246">
        <v>8760</v>
      </c>
      <c r="CI246">
        <v>8760</v>
      </c>
      <c r="CJ246">
        <v>8760</v>
      </c>
      <c r="CK246">
        <v>8760</v>
      </c>
      <c r="CL246">
        <v>8760</v>
      </c>
      <c r="CM246">
        <v>8760</v>
      </c>
      <c r="CN246">
        <v>8760</v>
      </c>
      <c r="CO246">
        <v>8760</v>
      </c>
      <c r="CP246">
        <v>8760</v>
      </c>
      <c r="CQ246">
        <v>8760</v>
      </c>
      <c r="CR246">
        <v>8760</v>
      </c>
      <c r="CS246">
        <v>8760</v>
      </c>
      <c r="CT246">
        <v>8760</v>
      </c>
      <c r="CU246">
        <v>8760</v>
      </c>
      <c r="CV246">
        <v>8760</v>
      </c>
      <c r="CW246">
        <v>8760</v>
      </c>
      <c r="CX246">
        <v>8760</v>
      </c>
      <c r="CY246">
        <v>8760</v>
      </c>
      <c r="CZ246">
        <v>8760</v>
      </c>
      <c r="DA246">
        <v>8760</v>
      </c>
      <c r="DB246">
        <v>8760</v>
      </c>
    </row>
    <row r="247" spans="1:106" x14ac:dyDescent="0.25">
      <c r="A247" s="13" t="s">
        <v>264</v>
      </c>
      <c r="B247" t="s">
        <v>264</v>
      </c>
      <c r="C247" t="s">
        <v>438</v>
      </c>
      <c r="D247" t="s">
        <v>845</v>
      </c>
      <c r="E247" t="s">
        <v>846</v>
      </c>
      <c r="F247">
        <v>102136</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7</v>
      </c>
      <c r="AS247">
        <v>12</v>
      </c>
      <c r="AT247">
        <v>18</v>
      </c>
      <c r="AU247">
        <v>25</v>
      </c>
      <c r="AV247">
        <v>39</v>
      </c>
      <c r="AW247">
        <v>54</v>
      </c>
      <c r="AX247">
        <v>70</v>
      </c>
      <c r="AY247">
        <v>90</v>
      </c>
      <c r="AZ247">
        <v>138</v>
      </c>
      <c r="BA247">
        <v>211</v>
      </c>
      <c r="BB247">
        <v>370</v>
      </c>
      <c r="BC247">
        <v>598</v>
      </c>
      <c r="BD247">
        <v>880</v>
      </c>
      <c r="BE247">
        <v>1227</v>
      </c>
      <c r="BF247">
        <v>1641</v>
      </c>
      <c r="BG247">
        <v>2055</v>
      </c>
      <c r="BH247">
        <v>2591</v>
      </c>
      <c r="BI247">
        <v>3245</v>
      </c>
      <c r="BJ247">
        <v>3733</v>
      </c>
      <c r="BK247">
        <v>4099</v>
      </c>
      <c r="BL247">
        <v>4432</v>
      </c>
      <c r="BM247">
        <v>4773</v>
      </c>
      <c r="BN247">
        <v>5143</v>
      </c>
      <c r="BO247">
        <v>5486</v>
      </c>
      <c r="BP247">
        <v>5907</v>
      </c>
      <c r="BQ247">
        <v>6349</v>
      </c>
      <c r="BR247">
        <v>6759</v>
      </c>
      <c r="BS247">
        <v>7208</v>
      </c>
      <c r="BT247">
        <v>7576</v>
      </c>
      <c r="BU247">
        <v>7921</v>
      </c>
      <c r="BV247">
        <v>8162</v>
      </c>
      <c r="BW247">
        <v>8325</v>
      </c>
      <c r="BX247">
        <v>8458</v>
      </c>
      <c r="BY247">
        <v>8573</v>
      </c>
      <c r="BZ247">
        <v>8633</v>
      </c>
      <c r="CA247">
        <v>8663</v>
      </c>
      <c r="CB247">
        <v>8687</v>
      </c>
      <c r="CC247">
        <v>8710</v>
      </c>
      <c r="CD247">
        <v>8736</v>
      </c>
      <c r="CE247">
        <v>8747</v>
      </c>
      <c r="CF247">
        <v>8754</v>
      </c>
      <c r="CG247">
        <v>8760</v>
      </c>
      <c r="CH247">
        <v>8760</v>
      </c>
      <c r="CI247">
        <v>8760</v>
      </c>
      <c r="CJ247">
        <v>8760</v>
      </c>
      <c r="CK247">
        <v>8760</v>
      </c>
      <c r="CL247">
        <v>8760</v>
      </c>
      <c r="CM247">
        <v>8760</v>
      </c>
      <c r="CN247">
        <v>8760</v>
      </c>
      <c r="CO247">
        <v>8760</v>
      </c>
      <c r="CP247">
        <v>8760</v>
      </c>
      <c r="CQ247">
        <v>8760</v>
      </c>
      <c r="CR247">
        <v>8760</v>
      </c>
      <c r="CS247">
        <v>8760</v>
      </c>
      <c r="CT247">
        <v>8760</v>
      </c>
      <c r="CU247">
        <v>8760</v>
      </c>
      <c r="CV247">
        <v>8760</v>
      </c>
      <c r="CW247">
        <v>8760</v>
      </c>
      <c r="CX247">
        <v>8760</v>
      </c>
      <c r="CY247">
        <v>8760</v>
      </c>
      <c r="CZ247">
        <v>8760</v>
      </c>
      <c r="DA247">
        <v>8760</v>
      </c>
      <c r="DB247">
        <v>8760</v>
      </c>
    </row>
    <row r="248" spans="1:106" x14ac:dyDescent="0.25">
      <c r="A248" s="13" t="s">
        <v>265</v>
      </c>
      <c r="B248" t="s">
        <v>415</v>
      </c>
    </row>
    <row r="249" spans="1:106" x14ac:dyDescent="0.25">
      <c r="A249" s="13" t="s">
        <v>266</v>
      </c>
      <c r="B249" t="s">
        <v>265</v>
      </c>
      <c r="C249" t="s">
        <v>438</v>
      </c>
      <c r="D249" t="s">
        <v>847</v>
      </c>
      <c r="E249" t="s">
        <v>848</v>
      </c>
      <c r="F249">
        <v>102208</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1</v>
      </c>
      <c r="AS249">
        <v>11</v>
      </c>
      <c r="AT249">
        <v>24</v>
      </c>
      <c r="AU249">
        <v>51</v>
      </c>
      <c r="AV249">
        <v>90</v>
      </c>
      <c r="AW249">
        <v>121</v>
      </c>
      <c r="AX249">
        <v>167</v>
      </c>
      <c r="AY249">
        <v>243</v>
      </c>
      <c r="AZ249">
        <v>323</v>
      </c>
      <c r="BA249">
        <v>410</v>
      </c>
      <c r="BB249">
        <v>566</v>
      </c>
      <c r="BC249">
        <v>811</v>
      </c>
      <c r="BD249">
        <v>1155</v>
      </c>
      <c r="BE249">
        <v>1571</v>
      </c>
      <c r="BF249">
        <v>1986</v>
      </c>
      <c r="BG249">
        <v>2426</v>
      </c>
      <c r="BH249">
        <v>2862</v>
      </c>
      <c r="BI249">
        <v>3329</v>
      </c>
      <c r="BJ249">
        <v>3705</v>
      </c>
      <c r="BK249">
        <v>4074</v>
      </c>
      <c r="BL249">
        <v>4434</v>
      </c>
      <c r="BM249">
        <v>4784</v>
      </c>
      <c r="BN249">
        <v>5147</v>
      </c>
      <c r="BO249">
        <v>5564</v>
      </c>
      <c r="BP249">
        <v>5990</v>
      </c>
      <c r="BQ249">
        <v>6403</v>
      </c>
      <c r="BR249">
        <v>6774</v>
      </c>
      <c r="BS249">
        <v>7173</v>
      </c>
      <c r="BT249">
        <v>7551</v>
      </c>
      <c r="BU249">
        <v>7914</v>
      </c>
      <c r="BV249">
        <v>8167</v>
      </c>
      <c r="BW249">
        <v>8341</v>
      </c>
      <c r="BX249">
        <v>8453</v>
      </c>
      <c r="BY249">
        <v>8539</v>
      </c>
      <c r="BZ249">
        <v>8615</v>
      </c>
      <c r="CA249">
        <v>8660</v>
      </c>
      <c r="CB249">
        <v>8696</v>
      </c>
      <c r="CC249">
        <v>8721</v>
      </c>
      <c r="CD249">
        <v>8738</v>
      </c>
      <c r="CE249">
        <v>8746</v>
      </c>
      <c r="CF249">
        <v>8756</v>
      </c>
      <c r="CG249">
        <v>8760</v>
      </c>
      <c r="CH249">
        <v>8760</v>
      </c>
      <c r="CI249">
        <v>8760</v>
      </c>
      <c r="CJ249">
        <v>8760</v>
      </c>
      <c r="CK249">
        <v>8760</v>
      </c>
      <c r="CL249">
        <v>8760</v>
      </c>
      <c r="CM249">
        <v>8760</v>
      </c>
      <c r="CN249">
        <v>8760</v>
      </c>
      <c r="CO249">
        <v>8760</v>
      </c>
      <c r="CP249">
        <v>8760</v>
      </c>
      <c r="CQ249">
        <v>8760</v>
      </c>
      <c r="CR249">
        <v>8760</v>
      </c>
      <c r="CS249">
        <v>8760</v>
      </c>
      <c r="CT249">
        <v>8760</v>
      </c>
      <c r="CU249">
        <v>8760</v>
      </c>
      <c r="CV249">
        <v>8760</v>
      </c>
      <c r="CW249">
        <v>8760</v>
      </c>
      <c r="CX249">
        <v>8760</v>
      </c>
      <c r="CY249">
        <v>8760</v>
      </c>
      <c r="CZ249">
        <v>8760</v>
      </c>
      <c r="DA249">
        <v>8760</v>
      </c>
      <c r="DB249">
        <v>8760</v>
      </c>
    </row>
    <row r="250" spans="1:106" x14ac:dyDescent="0.25">
      <c r="A250" s="13" t="s">
        <v>267</v>
      </c>
      <c r="B250" t="s">
        <v>267</v>
      </c>
      <c r="C250" t="s">
        <v>438</v>
      </c>
      <c r="D250" t="s">
        <v>849</v>
      </c>
      <c r="E250" t="s">
        <v>850</v>
      </c>
      <c r="F250">
        <v>102612</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3</v>
      </c>
      <c r="AO250">
        <v>11</v>
      </c>
      <c r="AP250">
        <v>15</v>
      </c>
      <c r="AQ250">
        <v>18</v>
      </c>
      <c r="AR250">
        <v>23</v>
      </c>
      <c r="AS250">
        <v>33</v>
      </c>
      <c r="AT250">
        <v>39</v>
      </c>
      <c r="AU250">
        <v>66</v>
      </c>
      <c r="AV250">
        <v>103</v>
      </c>
      <c r="AW250">
        <v>159</v>
      </c>
      <c r="AX250">
        <v>263</v>
      </c>
      <c r="AY250">
        <v>412</v>
      </c>
      <c r="AZ250">
        <v>575</v>
      </c>
      <c r="BA250">
        <v>737</v>
      </c>
      <c r="BB250">
        <v>974</v>
      </c>
      <c r="BC250">
        <v>1278</v>
      </c>
      <c r="BD250">
        <v>1611</v>
      </c>
      <c r="BE250">
        <v>2077</v>
      </c>
      <c r="BF250">
        <v>2568</v>
      </c>
      <c r="BG250">
        <v>3022</v>
      </c>
      <c r="BH250">
        <v>3459</v>
      </c>
      <c r="BI250">
        <v>3868</v>
      </c>
      <c r="BJ250">
        <v>4245</v>
      </c>
      <c r="BK250">
        <v>4596</v>
      </c>
      <c r="BL250">
        <v>4936</v>
      </c>
      <c r="BM250">
        <v>5281</v>
      </c>
      <c r="BN250">
        <v>5583</v>
      </c>
      <c r="BO250">
        <v>5897</v>
      </c>
      <c r="BP250">
        <v>6231</v>
      </c>
      <c r="BQ250">
        <v>6554</v>
      </c>
      <c r="BR250">
        <v>6912</v>
      </c>
      <c r="BS250">
        <v>7277</v>
      </c>
      <c r="BT250">
        <v>7608</v>
      </c>
      <c r="BU250">
        <v>7917</v>
      </c>
      <c r="BV250">
        <v>8177</v>
      </c>
      <c r="BW250">
        <v>8351</v>
      </c>
      <c r="BX250">
        <v>8506</v>
      </c>
      <c r="BY250">
        <v>8618</v>
      </c>
      <c r="BZ250">
        <v>8691</v>
      </c>
      <c r="CA250">
        <v>8731</v>
      </c>
      <c r="CB250">
        <v>8752</v>
      </c>
      <c r="CC250">
        <v>8760</v>
      </c>
      <c r="CD250">
        <v>8760</v>
      </c>
      <c r="CE250">
        <v>8760</v>
      </c>
      <c r="CF250">
        <v>8760</v>
      </c>
      <c r="CG250">
        <v>8760</v>
      </c>
      <c r="CH250">
        <v>8760</v>
      </c>
      <c r="CI250">
        <v>8760</v>
      </c>
      <c r="CJ250">
        <v>8760</v>
      </c>
      <c r="CK250">
        <v>8760</v>
      </c>
      <c r="CL250">
        <v>8760</v>
      </c>
      <c r="CM250">
        <v>8760</v>
      </c>
      <c r="CN250">
        <v>8760</v>
      </c>
      <c r="CO250">
        <v>8760</v>
      </c>
      <c r="CP250">
        <v>8760</v>
      </c>
      <c r="CQ250">
        <v>8760</v>
      </c>
      <c r="CR250">
        <v>8760</v>
      </c>
      <c r="CS250">
        <v>8760</v>
      </c>
      <c r="CT250">
        <v>8760</v>
      </c>
      <c r="CU250">
        <v>8760</v>
      </c>
      <c r="CV250">
        <v>8760</v>
      </c>
      <c r="CW250">
        <v>8760</v>
      </c>
      <c r="CX250">
        <v>8760</v>
      </c>
      <c r="CY250">
        <v>8760</v>
      </c>
      <c r="CZ250">
        <v>8760</v>
      </c>
      <c r="DA250">
        <v>8760</v>
      </c>
      <c r="DB250">
        <v>8760</v>
      </c>
    </row>
    <row r="251" spans="1:106" x14ac:dyDescent="0.25">
      <c r="A251" s="13" t="s">
        <v>268</v>
      </c>
      <c r="B251" t="s">
        <v>266</v>
      </c>
      <c r="C251" t="s">
        <v>438</v>
      </c>
      <c r="D251" t="s">
        <v>851</v>
      </c>
      <c r="E251" t="s">
        <v>852</v>
      </c>
      <c r="F251">
        <v>102613</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13</v>
      </c>
      <c r="AN251">
        <v>20</v>
      </c>
      <c r="AO251">
        <v>31</v>
      </c>
      <c r="AP251">
        <v>57</v>
      </c>
      <c r="AQ251">
        <v>71</v>
      </c>
      <c r="AR251">
        <v>84</v>
      </c>
      <c r="AS251">
        <v>103</v>
      </c>
      <c r="AT251">
        <v>130</v>
      </c>
      <c r="AU251">
        <v>174</v>
      </c>
      <c r="AV251">
        <v>244</v>
      </c>
      <c r="AW251">
        <v>357</v>
      </c>
      <c r="AX251">
        <v>453</v>
      </c>
      <c r="AY251">
        <v>593</v>
      </c>
      <c r="AZ251">
        <v>727</v>
      </c>
      <c r="BA251">
        <v>866</v>
      </c>
      <c r="BB251">
        <v>1133</v>
      </c>
      <c r="BC251">
        <v>1442</v>
      </c>
      <c r="BD251">
        <v>1751</v>
      </c>
      <c r="BE251">
        <v>2178</v>
      </c>
      <c r="BF251">
        <v>2627</v>
      </c>
      <c r="BG251">
        <v>3034</v>
      </c>
      <c r="BH251">
        <v>3430</v>
      </c>
      <c r="BI251">
        <v>3784</v>
      </c>
      <c r="BJ251">
        <v>4112</v>
      </c>
      <c r="BK251">
        <v>4455</v>
      </c>
      <c r="BL251">
        <v>4794</v>
      </c>
      <c r="BM251">
        <v>5107</v>
      </c>
      <c r="BN251">
        <v>5450</v>
      </c>
      <c r="BO251">
        <v>5775</v>
      </c>
      <c r="BP251">
        <v>6119</v>
      </c>
      <c r="BQ251">
        <v>6432</v>
      </c>
      <c r="BR251">
        <v>6816</v>
      </c>
      <c r="BS251">
        <v>7157</v>
      </c>
      <c r="BT251">
        <v>7480</v>
      </c>
      <c r="BU251">
        <v>7788</v>
      </c>
      <c r="BV251">
        <v>8034</v>
      </c>
      <c r="BW251">
        <v>8215</v>
      </c>
      <c r="BX251">
        <v>8365</v>
      </c>
      <c r="BY251">
        <v>8482</v>
      </c>
      <c r="BZ251">
        <v>8565</v>
      </c>
      <c r="CA251">
        <v>8624</v>
      </c>
      <c r="CB251">
        <v>8664</v>
      </c>
      <c r="CC251">
        <v>8693</v>
      </c>
      <c r="CD251">
        <v>8729</v>
      </c>
      <c r="CE251">
        <v>8742</v>
      </c>
      <c r="CF251">
        <v>8752</v>
      </c>
      <c r="CG251">
        <v>8756</v>
      </c>
      <c r="CH251">
        <v>8759</v>
      </c>
      <c r="CI251">
        <v>8760</v>
      </c>
      <c r="CJ251">
        <v>8760</v>
      </c>
      <c r="CK251">
        <v>8760</v>
      </c>
      <c r="CL251">
        <v>8760</v>
      </c>
      <c r="CM251">
        <v>8760</v>
      </c>
      <c r="CN251">
        <v>8760</v>
      </c>
      <c r="CO251">
        <v>8760</v>
      </c>
      <c r="CP251">
        <v>8760</v>
      </c>
      <c r="CQ251">
        <v>8760</v>
      </c>
      <c r="CR251">
        <v>8760</v>
      </c>
      <c r="CS251">
        <v>8760</v>
      </c>
      <c r="CT251">
        <v>8760</v>
      </c>
      <c r="CU251">
        <v>8760</v>
      </c>
      <c r="CV251">
        <v>8760</v>
      </c>
      <c r="CW251">
        <v>8760</v>
      </c>
      <c r="CX251">
        <v>8760</v>
      </c>
      <c r="CY251">
        <v>8760</v>
      </c>
      <c r="CZ251">
        <v>8760</v>
      </c>
      <c r="DA251">
        <v>8760</v>
      </c>
      <c r="DB251">
        <v>8760</v>
      </c>
    </row>
    <row r="252" spans="1:106" x14ac:dyDescent="0.25">
      <c r="A252" s="13" t="s">
        <v>269</v>
      </c>
      <c r="B252" t="s">
        <v>268</v>
      </c>
      <c r="C252" t="s">
        <v>438</v>
      </c>
      <c r="D252" t="s">
        <v>533</v>
      </c>
      <c r="E252" t="s">
        <v>853</v>
      </c>
      <c r="F252">
        <v>102534</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4</v>
      </c>
      <c r="AJ252">
        <v>16</v>
      </c>
      <c r="AK252">
        <v>30</v>
      </c>
      <c r="AL252">
        <v>52</v>
      </c>
      <c r="AM252">
        <v>64</v>
      </c>
      <c r="AN252">
        <v>94</v>
      </c>
      <c r="AO252">
        <v>113</v>
      </c>
      <c r="AP252">
        <v>140</v>
      </c>
      <c r="AQ252">
        <v>164</v>
      </c>
      <c r="AR252">
        <v>194</v>
      </c>
      <c r="AS252">
        <v>244</v>
      </c>
      <c r="AT252">
        <v>302</v>
      </c>
      <c r="AU252">
        <v>364</v>
      </c>
      <c r="AV252">
        <v>450</v>
      </c>
      <c r="AW252">
        <v>553</v>
      </c>
      <c r="AX252">
        <v>679</v>
      </c>
      <c r="AY252">
        <v>843</v>
      </c>
      <c r="AZ252">
        <v>1044</v>
      </c>
      <c r="BA252">
        <v>1299</v>
      </c>
      <c r="BB252">
        <v>1584</v>
      </c>
      <c r="BC252">
        <v>1871</v>
      </c>
      <c r="BD252">
        <v>2266</v>
      </c>
      <c r="BE252">
        <v>2692</v>
      </c>
      <c r="BF252">
        <v>3075</v>
      </c>
      <c r="BG252">
        <v>3493</v>
      </c>
      <c r="BH252">
        <v>3834</v>
      </c>
      <c r="BI252">
        <v>4148</v>
      </c>
      <c r="BJ252">
        <v>4469</v>
      </c>
      <c r="BK252">
        <v>4849</v>
      </c>
      <c r="BL252">
        <v>5207</v>
      </c>
      <c r="BM252">
        <v>5530</v>
      </c>
      <c r="BN252">
        <v>5909</v>
      </c>
      <c r="BO252">
        <v>6279</v>
      </c>
      <c r="BP252">
        <v>6639</v>
      </c>
      <c r="BQ252">
        <v>6935</v>
      </c>
      <c r="BR252">
        <v>7254</v>
      </c>
      <c r="BS252">
        <v>7545</v>
      </c>
      <c r="BT252">
        <v>7817</v>
      </c>
      <c r="BU252">
        <v>8056</v>
      </c>
      <c r="BV252">
        <v>8225</v>
      </c>
      <c r="BW252">
        <v>8413</v>
      </c>
      <c r="BX252">
        <v>8540</v>
      </c>
      <c r="BY252">
        <v>8634</v>
      </c>
      <c r="BZ252">
        <v>8709</v>
      </c>
      <c r="CA252">
        <v>8736</v>
      </c>
      <c r="CB252">
        <v>8748</v>
      </c>
      <c r="CC252">
        <v>8756</v>
      </c>
      <c r="CD252">
        <v>8760</v>
      </c>
      <c r="CE252">
        <v>8760</v>
      </c>
      <c r="CF252">
        <v>8760</v>
      </c>
      <c r="CG252">
        <v>8760</v>
      </c>
      <c r="CH252">
        <v>8760</v>
      </c>
      <c r="CI252">
        <v>8760</v>
      </c>
      <c r="CJ252">
        <v>8760</v>
      </c>
      <c r="CK252">
        <v>8760</v>
      </c>
      <c r="CL252">
        <v>8760</v>
      </c>
      <c r="CM252">
        <v>8760</v>
      </c>
      <c r="CN252">
        <v>8760</v>
      </c>
      <c r="CO252">
        <v>8760</v>
      </c>
      <c r="CP252">
        <v>8760</v>
      </c>
      <c r="CQ252">
        <v>8760</v>
      </c>
      <c r="CR252">
        <v>8760</v>
      </c>
      <c r="CS252">
        <v>8760</v>
      </c>
      <c r="CT252">
        <v>8760</v>
      </c>
      <c r="CU252">
        <v>8760</v>
      </c>
      <c r="CV252">
        <v>8760</v>
      </c>
      <c r="CW252">
        <v>8760</v>
      </c>
      <c r="CX252">
        <v>8760</v>
      </c>
      <c r="CY252">
        <v>8760</v>
      </c>
      <c r="CZ252">
        <v>8760</v>
      </c>
      <c r="DA252">
        <v>8760</v>
      </c>
      <c r="DB252">
        <v>8760</v>
      </c>
    </row>
    <row r="253" spans="1:106" x14ac:dyDescent="0.25">
      <c r="A253" s="13" t="s">
        <v>270</v>
      </c>
      <c r="B253" t="s">
        <v>269</v>
      </c>
      <c r="C253" t="s">
        <v>438</v>
      </c>
      <c r="D253" t="s">
        <v>854</v>
      </c>
      <c r="E253" t="s">
        <v>855</v>
      </c>
      <c r="F253">
        <v>102808</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1</v>
      </c>
      <c r="AI253">
        <v>10</v>
      </c>
      <c r="AJ253">
        <v>25</v>
      </c>
      <c r="AK253">
        <v>55</v>
      </c>
      <c r="AL253">
        <v>102</v>
      </c>
      <c r="AM253">
        <v>127</v>
      </c>
      <c r="AN253">
        <v>152</v>
      </c>
      <c r="AO253">
        <v>188</v>
      </c>
      <c r="AP253">
        <v>222</v>
      </c>
      <c r="AQ253">
        <v>258</v>
      </c>
      <c r="AR253">
        <v>314</v>
      </c>
      <c r="AS253">
        <v>369</v>
      </c>
      <c r="AT253">
        <v>463</v>
      </c>
      <c r="AU253">
        <v>604</v>
      </c>
      <c r="AV253">
        <v>752</v>
      </c>
      <c r="AW253">
        <v>931</v>
      </c>
      <c r="AX253">
        <v>1184</v>
      </c>
      <c r="AY253">
        <v>1456</v>
      </c>
      <c r="AZ253">
        <v>1741</v>
      </c>
      <c r="BA253">
        <v>2109</v>
      </c>
      <c r="BB253">
        <v>2576</v>
      </c>
      <c r="BC253">
        <v>2981</v>
      </c>
      <c r="BD253">
        <v>3490</v>
      </c>
      <c r="BE253">
        <v>3941</v>
      </c>
      <c r="BF253">
        <v>4370</v>
      </c>
      <c r="BG253">
        <v>4781</v>
      </c>
      <c r="BH253">
        <v>5182</v>
      </c>
      <c r="BI253">
        <v>5575</v>
      </c>
      <c r="BJ253">
        <v>5906</v>
      </c>
      <c r="BK253">
        <v>6253</v>
      </c>
      <c r="BL253">
        <v>6603</v>
      </c>
      <c r="BM253">
        <v>6942</v>
      </c>
      <c r="BN253">
        <v>7253</v>
      </c>
      <c r="BO253">
        <v>7554</v>
      </c>
      <c r="BP253">
        <v>7815</v>
      </c>
      <c r="BQ253">
        <v>8029</v>
      </c>
      <c r="BR253">
        <v>8216</v>
      </c>
      <c r="BS253">
        <v>8345</v>
      </c>
      <c r="BT253">
        <v>8462</v>
      </c>
      <c r="BU253">
        <v>8534</v>
      </c>
      <c r="BV253">
        <v>8591</v>
      </c>
      <c r="BW253">
        <v>8636</v>
      </c>
      <c r="BX253">
        <v>8672</v>
      </c>
      <c r="BY253">
        <v>8699</v>
      </c>
      <c r="BZ253">
        <v>8718</v>
      </c>
      <c r="CA253">
        <v>8734</v>
      </c>
      <c r="CB253">
        <v>8739</v>
      </c>
      <c r="CC253">
        <v>8745</v>
      </c>
      <c r="CD253">
        <v>8756</v>
      </c>
      <c r="CE253">
        <v>8759</v>
      </c>
      <c r="CF253">
        <v>8760</v>
      </c>
      <c r="CG253">
        <v>8760</v>
      </c>
      <c r="CH253">
        <v>8760</v>
      </c>
      <c r="CI253">
        <v>8760</v>
      </c>
      <c r="CJ253">
        <v>8760</v>
      </c>
      <c r="CK253">
        <v>8760</v>
      </c>
      <c r="CL253">
        <v>8760</v>
      </c>
      <c r="CM253">
        <v>8760</v>
      </c>
      <c r="CN253">
        <v>8760</v>
      </c>
      <c r="CO253">
        <v>8760</v>
      </c>
      <c r="CP253">
        <v>8760</v>
      </c>
      <c r="CQ253">
        <v>8760</v>
      </c>
      <c r="CR253">
        <v>8760</v>
      </c>
      <c r="CS253">
        <v>8760</v>
      </c>
      <c r="CT253">
        <v>8760</v>
      </c>
      <c r="CU253">
        <v>8760</v>
      </c>
      <c r="CV253">
        <v>8760</v>
      </c>
      <c r="CW253">
        <v>8760</v>
      </c>
      <c r="CX253">
        <v>8760</v>
      </c>
      <c r="CY253">
        <v>8760</v>
      </c>
      <c r="CZ253">
        <v>8760</v>
      </c>
      <c r="DA253">
        <v>8760</v>
      </c>
      <c r="DB253">
        <v>8760</v>
      </c>
    </row>
    <row r="254" spans="1:106" x14ac:dyDescent="0.25">
      <c r="A254" s="13" t="s">
        <v>271</v>
      </c>
      <c r="B254" t="s">
        <v>270</v>
      </c>
      <c r="C254" t="s">
        <v>438</v>
      </c>
      <c r="D254" t="s">
        <v>856</v>
      </c>
      <c r="E254" t="s">
        <v>857</v>
      </c>
      <c r="F254">
        <v>102909</v>
      </c>
      <c r="G254">
        <v>0</v>
      </c>
      <c r="H254">
        <v>0</v>
      </c>
      <c r="I254">
        <v>0</v>
      </c>
      <c r="J254">
        <v>0</v>
      </c>
      <c r="K254">
        <v>0</v>
      </c>
      <c r="L254">
        <v>0</v>
      </c>
      <c r="M254">
        <v>0</v>
      </c>
      <c r="N254">
        <v>0</v>
      </c>
      <c r="O254">
        <v>0</v>
      </c>
      <c r="P254">
        <v>0</v>
      </c>
      <c r="Q254">
        <v>0</v>
      </c>
      <c r="R254">
        <v>0</v>
      </c>
      <c r="S254">
        <v>0</v>
      </c>
      <c r="T254">
        <v>0</v>
      </c>
      <c r="U254">
        <v>0</v>
      </c>
      <c r="V254">
        <v>0</v>
      </c>
      <c r="W254">
        <v>0</v>
      </c>
      <c r="X254">
        <v>1</v>
      </c>
      <c r="Y254">
        <v>3</v>
      </c>
      <c r="Z254">
        <v>26</v>
      </c>
      <c r="AA254">
        <v>50</v>
      </c>
      <c r="AB254">
        <v>63</v>
      </c>
      <c r="AC254">
        <v>79</v>
      </c>
      <c r="AD254">
        <v>129</v>
      </c>
      <c r="AE254">
        <v>169</v>
      </c>
      <c r="AF254">
        <v>204</v>
      </c>
      <c r="AG254">
        <v>228</v>
      </c>
      <c r="AH254">
        <v>264</v>
      </c>
      <c r="AI254">
        <v>304</v>
      </c>
      <c r="AJ254">
        <v>348</v>
      </c>
      <c r="AK254">
        <v>394</v>
      </c>
      <c r="AL254">
        <v>482</v>
      </c>
      <c r="AM254">
        <v>560</v>
      </c>
      <c r="AN254">
        <v>626</v>
      </c>
      <c r="AO254">
        <v>730</v>
      </c>
      <c r="AP254">
        <v>806</v>
      </c>
      <c r="AQ254">
        <v>891</v>
      </c>
      <c r="AR254">
        <v>967</v>
      </c>
      <c r="AS254">
        <v>1053</v>
      </c>
      <c r="AT254">
        <v>1164</v>
      </c>
      <c r="AU254">
        <v>1323</v>
      </c>
      <c r="AV254">
        <v>1468</v>
      </c>
      <c r="AW254">
        <v>1667</v>
      </c>
      <c r="AX254">
        <v>1881</v>
      </c>
      <c r="AY254">
        <v>2084</v>
      </c>
      <c r="AZ254">
        <v>2343</v>
      </c>
      <c r="BA254">
        <v>2603</v>
      </c>
      <c r="BB254">
        <v>2920</v>
      </c>
      <c r="BC254">
        <v>3256</v>
      </c>
      <c r="BD254">
        <v>3667</v>
      </c>
      <c r="BE254">
        <v>4052</v>
      </c>
      <c r="BF254">
        <v>4367</v>
      </c>
      <c r="BG254">
        <v>4685</v>
      </c>
      <c r="BH254">
        <v>5000</v>
      </c>
      <c r="BI254">
        <v>5297</v>
      </c>
      <c r="BJ254">
        <v>5623</v>
      </c>
      <c r="BK254">
        <v>5880</v>
      </c>
      <c r="BL254">
        <v>6160</v>
      </c>
      <c r="BM254">
        <v>6528</v>
      </c>
      <c r="BN254">
        <v>6917</v>
      </c>
      <c r="BO254">
        <v>7254</v>
      </c>
      <c r="BP254">
        <v>7565</v>
      </c>
      <c r="BQ254">
        <v>7813</v>
      </c>
      <c r="BR254">
        <v>8026</v>
      </c>
      <c r="BS254">
        <v>8192</v>
      </c>
      <c r="BT254">
        <v>8338</v>
      </c>
      <c r="BU254">
        <v>8465</v>
      </c>
      <c r="BV254">
        <v>8560</v>
      </c>
      <c r="BW254">
        <v>8614</v>
      </c>
      <c r="BX254">
        <v>8665</v>
      </c>
      <c r="BY254">
        <v>8703</v>
      </c>
      <c r="BZ254">
        <v>8726</v>
      </c>
      <c r="CA254">
        <v>8739</v>
      </c>
      <c r="CB254">
        <v>8748</v>
      </c>
      <c r="CC254">
        <v>8751</v>
      </c>
      <c r="CD254">
        <v>8753</v>
      </c>
      <c r="CE254">
        <v>8756</v>
      </c>
      <c r="CF254">
        <v>8758</v>
      </c>
      <c r="CG254">
        <v>8759</v>
      </c>
      <c r="CH254">
        <v>8760</v>
      </c>
      <c r="CI254">
        <v>8760</v>
      </c>
      <c r="CJ254">
        <v>8760</v>
      </c>
      <c r="CK254">
        <v>8760</v>
      </c>
      <c r="CL254">
        <v>8760</v>
      </c>
      <c r="CM254">
        <v>8760</v>
      </c>
      <c r="CN254">
        <v>8760</v>
      </c>
      <c r="CO254">
        <v>8760</v>
      </c>
      <c r="CP254">
        <v>8760</v>
      </c>
      <c r="CQ254">
        <v>8760</v>
      </c>
      <c r="CR254">
        <v>8760</v>
      </c>
      <c r="CS254">
        <v>8760</v>
      </c>
      <c r="CT254">
        <v>8760</v>
      </c>
      <c r="CU254">
        <v>8760</v>
      </c>
      <c r="CV254">
        <v>8760</v>
      </c>
      <c r="CW254">
        <v>8760</v>
      </c>
      <c r="CX254">
        <v>8760</v>
      </c>
      <c r="CY254">
        <v>8760</v>
      </c>
      <c r="CZ254">
        <v>8760</v>
      </c>
      <c r="DA254">
        <v>8760</v>
      </c>
      <c r="DB254">
        <v>8760</v>
      </c>
    </row>
    <row r="255" spans="1:106" x14ac:dyDescent="0.25">
      <c r="A255" s="13" t="s">
        <v>272</v>
      </c>
      <c r="B255" t="s">
        <v>271</v>
      </c>
      <c r="C255" t="s">
        <v>438</v>
      </c>
      <c r="D255" t="s">
        <v>858</v>
      </c>
      <c r="E255" t="s">
        <v>859</v>
      </c>
      <c r="F255">
        <v>102416</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3</v>
      </c>
      <c r="AL255">
        <v>8</v>
      </c>
      <c r="AM255">
        <v>20</v>
      </c>
      <c r="AN255">
        <v>34</v>
      </c>
      <c r="AO255">
        <v>49</v>
      </c>
      <c r="AP255">
        <v>66</v>
      </c>
      <c r="AQ255">
        <v>82</v>
      </c>
      <c r="AR255">
        <v>120</v>
      </c>
      <c r="AS255">
        <v>165</v>
      </c>
      <c r="AT255">
        <v>214</v>
      </c>
      <c r="AU255">
        <v>297</v>
      </c>
      <c r="AV255">
        <v>375</v>
      </c>
      <c r="AW255">
        <v>492</v>
      </c>
      <c r="AX255">
        <v>647</v>
      </c>
      <c r="AY255">
        <v>817</v>
      </c>
      <c r="AZ255">
        <v>991</v>
      </c>
      <c r="BA255">
        <v>1229</v>
      </c>
      <c r="BB255">
        <v>1417</v>
      </c>
      <c r="BC255">
        <v>1699</v>
      </c>
      <c r="BD255">
        <v>2023</v>
      </c>
      <c r="BE255">
        <v>2464</v>
      </c>
      <c r="BF255">
        <v>2841</v>
      </c>
      <c r="BG255">
        <v>3207</v>
      </c>
      <c r="BH255">
        <v>3541</v>
      </c>
      <c r="BI255">
        <v>3869</v>
      </c>
      <c r="BJ255">
        <v>4205</v>
      </c>
      <c r="BK255">
        <v>4558</v>
      </c>
      <c r="BL255">
        <v>4862</v>
      </c>
      <c r="BM255">
        <v>5149</v>
      </c>
      <c r="BN255">
        <v>5414</v>
      </c>
      <c r="BO255">
        <v>5727</v>
      </c>
      <c r="BP255">
        <v>6085</v>
      </c>
      <c r="BQ255">
        <v>6452</v>
      </c>
      <c r="BR255">
        <v>6828</v>
      </c>
      <c r="BS255">
        <v>7184</v>
      </c>
      <c r="BT255">
        <v>7516</v>
      </c>
      <c r="BU255">
        <v>7811</v>
      </c>
      <c r="BV255">
        <v>8058</v>
      </c>
      <c r="BW255">
        <v>8261</v>
      </c>
      <c r="BX255">
        <v>8415</v>
      </c>
      <c r="BY255">
        <v>8527</v>
      </c>
      <c r="BZ255">
        <v>8605</v>
      </c>
      <c r="CA255">
        <v>8647</v>
      </c>
      <c r="CB255">
        <v>8692</v>
      </c>
      <c r="CC255">
        <v>8734</v>
      </c>
      <c r="CD255">
        <v>8752</v>
      </c>
      <c r="CE255">
        <v>8760</v>
      </c>
      <c r="CF255">
        <v>8760</v>
      </c>
      <c r="CG255">
        <v>8760</v>
      </c>
      <c r="CH255">
        <v>8760</v>
      </c>
      <c r="CI255">
        <v>8760</v>
      </c>
      <c r="CJ255">
        <v>8760</v>
      </c>
      <c r="CK255">
        <v>8760</v>
      </c>
      <c r="CL255">
        <v>8760</v>
      </c>
      <c r="CM255">
        <v>8760</v>
      </c>
      <c r="CN255">
        <v>8760</v>
      </c>
      <c r="CO255">
        <v>8760</v>
      </c>
      <c r="CP255">
        <v>8760</v>
      </c>
      <c r="CQ255">
        <v>8760</v>
      </c>
      <c r="CR255">
        <v>8760</v>
      </c>
      <c r="CS255">
        <v>8760</v>
      </c>
      <c r="CT255">
        <v>8760</v>
      </c>
      <c r="CU255">
        <v>8760</v>
      </c>
      <c r="CV255">
        <v>8760</v>
      </c>
      <c r="CW255">
        <v>8760</v>
      </c>
      <c r="CX255">
        <v>8760</v>
      </c>
      <c r="CY255">
        <v>8760</v>
      </c>
      <c r="CZ255">
        <v>8760</v>
      </c>
      <c r="DA255">
        <v>8760</v>
      </c>
      <c r="DB255">
        <v>8760</v>
      </c>
    </row>
    <row r="256" spans="1:106" x14ac:dyDescent="0.25">
      <c r="A256" s="13" t="s">
        <v>273</v>
      </c>
      <c r="B256" t="s">
        <v>272</v>
      </c>
      <c r="C256" t="s">
        <v>438</v>
      </c>
      <c r="D256" t="s">
        <v>860</v>
      </c>
      <c r="E256" t="s">
        <v>861</v>
      </c>
      <c r="F256">
        <v>102221</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3</v>
      </c>
      <c r="AO256">
        <v>11</v>
      </c>
      <c r="AP256">
        <v>15</v>
      </c>
      <c r="AQ256">
        <v>25</v>
      </c>
      <c r="AR256">
        <v>39</v>
      </c>
      <c r="AS256">
        <v>51</v>
      </c>
      <c r="AT256">
        <v>71</v>
      </c>
      <c r="AU256">
        <v>111</v>
      </c>
      <c r="AV256">
        <v>140</v>
      </c>
      <c r="AW256">
        <v>185</v>
      </c>
      <c r="AX256">
        <v>242</v>
      </c>
      <c r="AY256">
        <v>312</v>
      </c>
      <c r="AZ256">
        <v>404</v>
      </c>
      <c r="BA256">
        <v>521</v>
      </c>
      <c r="BB256">
        <v>717</v>
      </c>
      <c r="BC256">
        <v>985</v>
      </c>
      <c r="BD256">
        <v>1303</v>
      </c>
      <c r="BE256">
        <v>1722</v>
      </c>
      <c r="BF256">
        <v>2172</v>
      </c>
      <c r="BG256">
        <v>2660</v>
      </c>
      <c r="BH256">
        <v>3070</v>
      </c>
      <c r="BI256">
        <v>3519</v>
      </c>
      <c r="BJ256">
        <v>3942</v>
      </c>
      <c r="BK256">
        <v>4285</v>
      </c>
      <c r="BL256">
        <v>4667</v>
      </c>
      <c r="BM256">
        <v>5053</v>
      </c>
      <c r="BN256">
        <v>5448</v>
      </c>
      <c r="BO256">
        <v>5788</v>
      </c>
      <c r="BP256">
        <v>6099</v>
      </c>
      <c r="BQ256">
        <v>6422</v>
      </c>
      <c r="BR256">
        <v>6772</v>
      </c>
      <c r="BS256">
        <v>7155</v>
      </c>
      <c r="BT256">
        <v>7558</v>
      </c>
      <c r="BU256">
        <v>7896</v>
      </c>
      <c r="BV256">
        <v>8167</v>
      </c>
      <c r="BW256">
        <v>8351</v>
      </c>
      <c r="BX256">
        <v>8487</v>
      </c>
      <c r="BY256">
        <v>8580</v>
      </c>
      <c r="BZ256">
        <v>8660</v>
      </c>
      <c r="CA256">
        <v>8718</v>
      </c>
      <c r="CB256">
        <v>8740</v>
      </c>
      <c r="CC256">
        <v>8748</v>
      </c>
      <c r="CD256">
        <v>8754</v>
      </c>
      <c r="CE256">
        <v>8756</v>
      </c>
      <c r="CF256">
        <v>8760</v>
      </c>
      <c r="CG256">
        <v>8760</v>
      </c>
      <c r="CH256">
        <v>8760</v>
      </c>
      <c r="CI256">
        <v>8760</v>
      </c>
      <c r="CJ256">
        <v>8760</v>
      </c>
      <c r="CK256">
        <v>8760</v>
      </c>
      <c r="CL256">
        <v>8760</v>
      </c>
      <c r="CM256">
        <v>8760</v>
      </c>
      <c r="CN256">
        <v>8760</v>
      </c>
      <c r="CO256">
        <v>8760</v>
      </c>
      <c r="CP256">
        <v>8760</v>
      </c>
      <c r="CQ256">
        <v>8760</v>
      </c>
      <c r="CR256">
        <v>8760</v>
      </c>
      <c r="CS256">
        <v>8760</v>
      </c>
      <c r="CT256">
        <v>8760</v>
      </c>
      <c r="CU256">
        <v>8760</v>
      </c>
      <c r="CV256">
        <v>8760</v>
      </c>
      <c r="CW256">
        <v>8760</v>
      </c>
      <c r="CX256">
        <v>8760</v>
      </c>
      <c r="CY256">
        <v>8760</v>
      </c>
      <c r="CZ256">
        <v>8760</v>
      </c>
      <c r="DA256">
        <v>8760</v>
      </c>
      <c r="DB256">
        <v>8760</v>
      </c>
    </row>
    <row r="257" spans="1:106" x14ac:dyDescent="0.25">
      <c r="A257" s="13" t="s">
        <v>274</v>
      </c>
      <c r="B257" t="s">
        <v>273</v>
      </c>
      <c r="C257" t="s">
        <v>438</v>
      </c>
      <c r="D257" t="s">
        <v>862</v>
      </c>
      <c r="E257" t="s">
        <v>863</v>
      </c>
      <c r="F257">
        <v>102814</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17</v>
      </c>
      <c r="AH257">
        <v>35</v>
      </c>
      <c r="AI257">
        <v>60</v>
      </c>
      <c r="AJ257">
        <v>82</v>
      </c>
      <c r="AK257">
        <v>103</v>
      </c>
      <c r="AL257">
        <v>119</v>
      </c>
      <c r="AM257">
        <v>144</v>
      </c>
      <c r="AN257">
        <v>192</v>
      </c>
      <c r="AO257">
        <v>243</v>
      </c>
      <c r="AP257">
        <v>296</v>
      </c>
      <c r="AQ257">
        <v>350</v>
      </c>
      <c r="AR257">
        <v>423</v>
      </c>
      <c r="AS257">
        <v>516</v>
      </c>
      <c r="AT257">
        <v>629</v>
      </c>
      <c r="AU257">
        <v>754</v>
      </c>
      <c r="AV257">
        <v>934</v>
      </c>
      <c r="AW257">
        <v>1200</v>
      </c>
      <c r="AX257">
        <v>1436</v>
      </c>
      <c r="AY257">
        <v>1656</v>
      </c>
      <c r="AZ257">
        <v>1921</v>
      </c>
      <c r="BA257">
        <v>2202</v>
      </c>
      <c r="BB257">
        <v>2561</v>
      </c>
      <c r="BC257">
        <v>2898</v>
      </c>
      <c r="BD257">
        <v>3359</v>
      </c>
      <c r="BE257">
        <v>3750</v>
      </c>
      <c r="BF257">
        <v>4127</v>
      </c>
      <c r="BG257">
        <v>4511</v>
      </c>
      <c r="BH257">
        <v>4877</v>
      </c>
      <c r="BI257">
        <v>5233</v>
      </c>
      <c r="BJ257">
        <v>5513</v>
      </c>
      <c r="BK257">
        <v>5834</v>
      </c>
      <c r="BL257">
        <v>6134</v>
      </c>
      <c r="BM257">
        <v>6420</v>
      </c>
      <c r="BN257">
        <v>6725</v>
      </c>
      <c r="BO257">
        <v>7134</v>
      </c>
      <c r="BP257">
        <v>7451</v>
      </c>
      <c r="BQ257">
        <v>7716</v>
      </c>
      <c r="BR257">
        <v>7975</v>
      </c>
      <c r="BS257">
        <v>8177</v>
      </c>
      <c r="BT257">
        <v>8317</v>
      </c>
      <c r="BU257">
        <v>8447</v>
      </c>
      <c r="BV257">
        <v>8550</v>
      </c>
      <c r="BW257">
        <v>8621</v>
      </c>
      <c r="BX257">
        <v>8671</v>
      </c>
      <c r="BY257">
        <v>8704</v>
      </c>
      <c r="BZ257">
        <v>8733</v>
      </c>
      <c r="CA257">
        <v>8747</v>
      </c>
      <c r="CB257">
        <v>8754</v>
      </c>
      <c r="CC257">
        <v>8760</v>
      </c>
      <c r="CD257">
        <v>8760</v>
      </c>
      <c r="CE257">
        <v>8760</v>
      </c>
      <c r="CF257">
        <v>8760</v>
      </c>
      <c r="CG257">
        <v>8760</v>
      </c>
      <c r="CH257">
        <v>8760</v>
      </c>
      <c r="CI257">
        <v>8760</v>
      </c>
      <c r="CJ257">
        <v>8760</v>
      </c>
      <c r="CK257">
        <v>8760</v>
      </c>
      <c r="CL257">
        <v>8760</v>
      </c>
      <c r="CM257">
        <v>8760</v>
      </c>
      <c r="CN257">
        <v>8760</v>
      </c>
      <c r="CO257">
        <v>8760</v>
      </c>
      <c r="CP257">
        <v>8760</v>
      </c>
      <c r="CQ257">
        <v>8760</v>
      </c>
      <c r="CR257">
        <v>8760</v>
      </c>
      <c r="CS257">
        <v>8760</v>
      </c>
      <c r="CT257">
        <v>8760</v>
      </c>
      <c r="CU257">
        <v>8760</v>
      </c>
      <c r="CV257">
        <v>8760</v>
      </c>
      <c r="CW257">
        <v>8760</v>
      </c>
      <c r="CX257">
        <v>8760</v>
      </c>
      <c r="CY257">
        <v>8760</v>
      </c>
      <c r="CZ257">
        <v>8760</v>
      </c>
      <c r="DA257">
        <v>8760</v>
      </c>
      <c r="DB257">
        <v>8760</v>
      </c>
    </row>
    <row r="258" spans="1:106" x14ac:dyDescent="0.25">
      <c r="A258" s="13" t="s">
        <v>275</v>
      </c>
      <c r="B258" t="s">
        <v>274</v>
      </c>
      <c r="C258" t="s">
        <v>438</v>
      </c>
      <c r="D258" t="s">
        <v>864</v>
      </c>
      <c r="E258" t="s">
        <v>865</v>
      </c>
      <c r="F258">
        <v>102640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5</v>
      </c>
      <c r="AP258">
        <v>16</v>
      </c>
      <c r="AQ258">
        <v>25</v>
      </c>
      <c r="AR258">
        <v>40</v>
      </c>
      <c r="AS258">
        <v>65</v>
      </c>
      <c r="AT258">
        <v>100</v>
      </c>
      <c r="AU258">
        <v>148</v>
      </c>
      <c r="AV258">
        <v>215</v>
      </c>
      <c r="AW258">
        <v>309</v>
      </c>
      <c r="AX258">
        <v>396</v>
      </c>
      <c r="AY258">
        <v>520</v>
      </c>
      <c r="AZ258">
        <v>669</v>
      </c>
      <c r="BA258">
        <v>805</v>
      </c>
      <c r="BB258">
        <v>1006</v>
      </c>
      <c r="BC258">
        <v>1248</v>
      </c>
      <c r="BD258">
        <v>1582</v>
      </c>
      <c r="BE258">
        <v>2078</v>
      </c>
      <c r="BF258">
        <v>2537</v>
      </c>
      <c r="BG258">
        <v>2965</v>
      </c>
      <c r="BH258">
        <v>3307</v>
      </c>
      <c r="BI258">
        <v>3721</v>
      </c>
      <c r="BJ258">
        <v>4191</v>
      </c>
      <c r="BK258">
        <v>4538</v>
      </c>
      <c r="BL258">
        <v>4883</v>
      </c>
      <c r="BM258">
        <v>5166</v>
      </c>
      <c r="BN258">
        <v>5461</v>
      </c>
      <c r="BO258">
        <v>5744</v>
      </c>
      <c r="BP258">
        <v>6066</v>
      </c>
      <c r="BQ258">
        <v>6410</v>
      </c>
      <c r="BR258">
        <v>6778</v>
      </c>
      <c r="BS258">
        <v>7178</v>
      </c>
      <c r="BT258">
        <v>7480</v>
      </c>
      <c r="BU258">
        <v>7760</v>
      </c>
      <c r="BV258">
        <v>8008</v>
      </c>
      <c r="BW258">
        <v>8190</v>
      </c>
      <c r="BX258">
        <v>8354</v>
      </c>
      <c r="BY258">
        <v>8480</v>
      </c>
      <c r="BZ258">
        <v>8581</v>
      </c>
      <c r="CA258">
        <v>8650</v>
      </c>
      <c r="CB258">
        <v>8696</v>
      </c>
      <c r="CC258">
        <v>8726</v>
      </c>
      <c r="CD258">
        <v>8743</v>
      </c>
      <c r="CE258">
        <v>8748</v>
      </c>
      <c r="CF258">
        <v>8752</v>
      </c>
      <c r="CG258">
        <v>8757</v>
      </c>
      <c r="CH258">
        <v>8760</v>
      </c>
      <c r="CI258">
        <v>8760</v>
      </c>
      <c r="CJ258">
        <v>8760</v>
      </c>
      <c r="CK258">
        <v>8760</v>
      </c>
      <c r="CL258">
        <v>8760</v>
      </c>
      <c r="CM258">
        <v>8760</v>
      </c>
      <c r="CN258">
        <v>8760</v>
      </c>
      <c r="CO258">
        <v>8760</v>
      </c>
      <c r="CP258">
        <v>8760</v>
      </c>
      <c r="CQ258">
        <v>8760</v>
      </c>
      <c r="CR258">
        <v>8760</v>
      </c>
      <c r="CS258">
        <v>8760</v>
      </c>
      <c r="CT258">
        <v>8760</v>
      </c>
      <c r="CU258">
        <v>8760</v>
      </c>
      <c r="CV258">
        <v>8760</v>
      </c>
      <c r="CW258">
        <v>8760</v>
      </c>
      <c r="CX258">
        <v>8760</v>
      </c>
      <c r="CY258">
        <v>8760</v>
      </c>
      <c r="CZ258">
        <v>8760</v>
      </c>
      <c r="DA258">
        <v>8760</v>
      </c>
      <c r="DB258">
        <v>8760</v>
      </c>
    </row>
    <row r="259" spans="1:106" x14ac:dyDescent="0.25">
      <c r="A259" s="13" t="s">
        <v>276</v>
      </c>
      <c r="B259" t="s">
        <v>275</v>
      </c>
      <c r="C259" t="s">
        <v>438</v>
      </c>
      <c r="D259" t="s">
        <v>866</v>
      </c>
      <c r="E259" t="s">
        <v>867</v>
      </c>
      <c r="F259">
        <v>102805</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1</v>
      </c>
      <c r="AG259">
        <v>2</v>
      </c>
      <c r="AH259">
        <v>5</v>
      </c>
      <c r="AI259">
        <v>13</v>
      </c>
      <c r="AJ259">
        <v>25</v>
      </c>
      <c r="AK259">
        <v>43</v>
      </c>
      <c r="AL259">
        <v>62</v>
      </c>
      <c r="AM259">
        <v>81</v>
      </c>
      <c r="AN259">
        <v>115</v>
      </c>
      <c r="AO259">
        <v>180</v>
      </c>
      <c r="AP259">
        <v>260</v>
      </c>
      <c r="AQ259">
        <v>329</v>
      </c>
      <c r="AR259">
        <v>416</v>
      </c>
      <c r="AS259">
        <v>506</v>
      </c>
      <c r="AT259">
        <v>635</v>
      </c>
      <c r="AU259">
        <v>749</v>
      </c>
      <c r="AV259">
        <v>864</v>
      </c>
      <c r="AW259">
        <v>996</v>
      </c>
      <c r="AX259">
        <v>1139</v>
      </c>
      <c r="AY259">
        <v>1339</v>
      </c>
      <c r="AZ259">
        <v>1540</v>
      </c>
      <c r="BA259">
        <v>1741</v>
      </c>
      <c r="BB259">
        <v>2006</v>
      </c>
      <c r="BC259">
        <v>2344</v>
      </c>
      <c r="BD259">
        <v>2754</v>
      </c>
      <c r="BE259">
        <v>3257</v>
      </c>
      <c r="BF259">
        <v>3627</v>
      </c>
      <c r="BG259">
        <v>3990</v>
      </c>
      <c r="BH259">
        <v>4339</v>
      </c>
      <c r="BI259">
        <v>4659</v>
      </c>
      <c r="BJ259">
        <v>4968</v>
      </c>
      <c r="BK259">
        <v>5265</v>
      </c>
      <c r="BL259">
        <v>5528</v>
      </c>
      <c r="BM259">
        <v>5812</v>
      </c>
      <c r="BN259">
        <v>6109</v>
      </c>
      <c r="BO259">
        <v>6454</v>
      </c>
      <c r="BP259">
        <v>6812</v>
      </c>
      <c r="BQ259">
        <v>7132</v>
      </c>
      <c r="BR259">
        <v>7440</v>
      </c>
      <c r="BS259">
        <v>7757</v>
      </c>
      <c r="BT259">
        <v>7998</v>
      </c>
      <c r="BU259">
        <v>8176</v>
      </c>
      <c r="BV259">
        <v>8350</v>
      </c>
      <c r="BW259">
        <v>8482</v>
      </c>
      <c r="BX259">
        <v>8571</v>
      </c>
      <c r="BY259">
        <v>8641</v>
      </c>
      <c r="BZ259">
        <v>8686</v>
      </c>
      <c r="CA259">
        <v>8721</v>
      </c>
      <c r="CB259">
        <v>8738</v>
      </c>
      <c r="CC259">
        <v>8755</v>
      </c>
      <c r="CD259">
        <v>8760</v>
      </c>
      <c r="CE259">
        <v>8760</v>
      </c>
      <c r="CF259">
        <v>8760</v>
      </c>
      <c r="CG259">
        <v>8760</v>
      </c>
      <c r="CH259">
        <v>8760</v>
      </c>
      <c r="CI259">
        <v>8760</v>
      </c>
      <c r="CJ259">
        <v>8760</v>
      </c>
      <c r="CK259">
        <v>8760</v>
      </c>
      <c r="CL259">
        <v>8760</v>
      </c>
      <c r="CM259">
        <v>8760</v>
      </c>
      <c r="CN259">
        <v>8760</v>
      </c>
      <c r="CO259">
        <v>8760</v>
      </c>
      <c r="CP259">
        <v>8760</v>
      </c>
      <c r="CQ259">
        <v>8760</v>
      </c>
      <c r="CR259">
        <v>8760</v>
      </c>
      <c r="CS259">
        <v>8760</v>
      </c>
      <c r="CT259">
        <v>8760</v>
      </c>
      <c r="CU259">
        <v>8760</v>
      </c>
      <c r="CV259">
        <v>8760</v>
      </c>
      <c r="CW259">
        <v>8760</v>
      </c>
      <c r="CX259">
        <v>8760</v>
      </c>
      <c r="CY259">
        <v>8760</v>
      </c>
      <c r="CZ259">
        <v>8760</v>
      </c>
      <c r="DA259">
        <v>8760</v>
      </c>
      <c r="DB259">
        <v>8760</v>
      </c>
    </row>
    <row r="260" spans="1:106" x14ac:dyDescent="0.25">
      <c r="A260" s="13" t="s">
        <v>277</v>
      </c>
      <c r="B260" t="s">
        <v>276</v>
      </c>
      <c r="C260" t="s">
        <v>438</v>
      </c>
      <c r="D260" t="s">
        <v>868</v>
      </c>
      <c r="E260" t="s">
        <v>869</v>
      </c>
      <c r="F260">
        <v>102504</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1</v>
      </c>
      <c r="AH260">
        <v>7</v>
      </c>
      <c r="AI260">
        <v>16</v>
      </c>
      <c r="AJ260">
        <v>23</v>
      </c>
      <c r="AK260">
        <v>35</v>
      </c>
      <c r="AL260">
        <v>43</v>
      </c>
      <c r="AM260">
        <v>54</v>
      </c>
      <c r="AN260">
        <v>88</v>
      </c>
      <c r="AO260">
        <v>119</v>
      </c>
      <c r="AP260">
        <v>143</v>
      </c>
      <c r="AQ260">
        <v>163</v>
      </c>
      <c r="AR260">
        <v>185</v>
      </c>
      <c r="AS260">
        <v>216</v>
      </c>
      <c r="AT260">
        <v>266</v>
      </c>
      <c r="AU260">
        <v>330</v>
      </c>
      <c r="AV260">
        <v>420</v>
      </c>
      <c r="AW260">
        <v>521</v>
      </c>
      <c r="AX260">
        <v>668</v>
      </c>
      <c r="AY260">
        <v>837</v>
      </c>
      <c r="AZ260">
        <v>1015</v>
      </c>
      <c r="BA260">
        <v>1279</v>
      </c>
      <c r="BB260">
        <v>1557</v>
      </c>
      <c r="BC260">
        <v>1869</v>
      </c>
      <c r="BD260">
        <v>2285</v>
      </c>
      <c r="BE260">
        <v>2727</v>
      </c>
      <c r="BF260">
        <v>3181</v>
      </c>
      <c r="BG260">
        <v>3550</v>
      </c>
      <c r="BH260">
        <v>3916</v>
      </c>
      <c r="BI260">
        <v>4266</v>
      </c>
      <c r="BJ260">
        <v>4602</v>
      </c>
      <c r="BK260">
        <v>4955</v>
      </c>
      <c r="BL260">
        <v>5311</v>
      </c>
      <c r="BM260">
        <v>5626</v>
      </c>
      <c r="BN260">
        <v>5912</v>
      </c>
      <c r="BO260">
        <v>6185</v>
      </c>
      <c r="BP260">
        <v>6509</v>
      </c>
      <c r="BQ260">
        <v>6817</v>
      </c>
      <c r="BR260">
        <v>7137</v>
      </c>
      <c r="BS260">
        <v>7416</v>
      </c>
      <c r="BT260">
        <v>7660</v>
      </c>
      <c r="BU260">
        <v>7881</v>
      </c>
      <c r="BV260">
        <v>8070</v>
      </c>
      <c r="BW260">
        <v>8233</v>
      </c>
      <c r="BX260">
        <v>8353</v>
      </c>
      <c r="BY260">
        <v>8449</v>
      </c>
      <c r="BZ260">
        <v>8535</v>
      </c>
      <c r="CA260">
        <v>8590</v>
      </c>
      <c r="CB260">
        <v>8631</v>
      </c>
      <c r="CC260">
        <v>8666</v>
      </c>
      <c r="CD260">
        <v>8707</v>
      </c>
      <c r="CE260">
        <v>8745</v>
      </c>
      <c r="CF260">
        <v>8755</v>
      </c>
      <c r="CG260">
        <v>8757</v>
      </c>
      <c r="CH260">
        <v>8760</v>
      </c>
      <c r="CI260">
        <v>8760</v>
      </c>
      <c r="CJ260">
        <v>8760</v>
      </c>
      <c r="CK260">
        <v>8760</v>
      </c>
      <c r="CL260">
        <v>8760</v>
      </c>
      <c r="CM260">
        <v>8760</v>
      </c>
      <c r="CN260">
        <v>8760</v>
      </c>
      <c r="CO260">
        <v>8760</v>
      </c>
      <c r="CP260">
        <v>8760</v>
      </c>
      <c r="CQ260">
        <v>8760</v>
      </c>
      <c r="CR260">
        <v>8760</v>
      </c>
      <c r="CS260">
        <v>8760</v>
      </c>
      <c r="CT260">
        <v>8760</v>
      </c>
      <c r="CU260">
        <v>8760</v>
      </c>
      <c r="CV260">
        <v>8760</v>
      </c>
      <c r="CW260">
        <v>8760</v>
      </c>
      <c r="CX260">
        <v>8760</v>
      </c>
      <c r="CY260">
        <v>8760</v>
      </c>
      <c r="CZ260">
        <v>8760</v>
      </c>
      <c r="DA260">
        <v>8760</v>
      </c>
      <c r="DB260">
        <v>8760</v>
      </c>
    </row>
    <row r="261" spans="1:106" x14ac:dyDescent="0.25">
      <c r="A261" s="13" t="s">
        <v>278</v>
      </c>
      <c r="B261" t="s">
        <v>277</v>
      </c>
      <c r="C261" t="s">
        <v>438</v>
      </c>
      <c r="D261" t="s">
        <v>870</v>
      </c>
      <c r="E261" t="s">
        <v>871</v>
      </c>
      <c r="F261">
        <v>102636</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5</v>
      </c>
      <c r="AL261">
        <v>11</v>
      </c>
      <c r="AM261">
        <v>20</v>
      </c>
      <c r="AN261">
        <v>23</v>
      </c>
      <c r="AO261">
        <v>30</v>
      </c>
      <c r="AP261">
        <v>44</v>
      </c>
      <c r="AQ261">
        <v>75</v>
      </c>
      <c r="AR261">
        <v>108</v>
      </c>
      <c r="AS261">
        <v>146</v>
      </c>
      <c r="AT261">
        <v>228</v>
      </c>
      <c r="AU261">
        <v>331</v>
      </c>
      <c r="AV261">
        <v>408</v>
      </c>
      <c r="AW261">
        <v>494</v>
      </c>
      <c r="AX261">
        <v>607</v>
      </c>
      <c r="AY261">
        <v>755</v>
      </c>
      <c r="AZ261">
        <v>959</v>
      </c>
      <c r="BA261">
        <v>1181</v>
      </c>
      <c r="BB261">
        <v>1504</v>
      </c>
      <c r="BC261">
        <v>1840</v>
      </c>
      <c r="BD261">
        <v>2265</v>
      </c>
      <c r="BE261">
        <v>2710</v>
      </c>
      <c r="BF261">
        <v>3149</v>
      </c>
      <c r="BG261">
        <v>3541</v>
      </c>
      <c r="BH261">
        <v>3938</v>
      </c>
      <c r="BI261">
        <v>4300</v>
      </c>
      <c r="BJ261">
        <v>4628</v>
      </c>
      <c r="BK261">
        <v>4899</v>
      </c>
      <c r="BL261">
        <v>5183</v>
      </c>
      <c r="BM261">
        <v>5492</v>
      </c>
      <c r="BN261">
        <v>5789</v>
      </c>
      <c r="BO261">
        <v>6076</v>
      </c>
      <c r="BP261">
        <v>6392</v>
      </c>
      <c r="BQ261">
        <v>6730</v>
      </c>
      <c r="BR261">
        <v>7025</v>
      </c>
      <c r="BS261">
        <v>7321</v>
      </c>
      <c r="BT261">
        <v>7620</v>
      </c>
      <c r="BU261">
        <v>7872</v>
      </c>
      <c r="BV261">
        <v>8050</v>
      </c>
      <c r="BW261">
        <v>8217</v>
      </c>
      <c r="BX261">
        <v>8365</v>
      </c>
      <c r="BY261">
        <v>8478</v>
      </c>
      <c r="BZ261">
        <v>8568</v>
      </c>
      <c r="CA261">
        <v>8624</v>
      </c>
      <c r="CB261">
        <v>8675</v>
      </c>
      <c r="CC261">
        <v>8710</v>
      </c>
      <c r="CD261">
        <v>8741</v>
      </c>
      <c r="CE261">
        <v>8754</v>
      </c>
      <c r="CF261">
        <v>8760</v>
      </c>
      <c r="CG261">
        <v>8760</v>
      </c>
      <c r="CH261">
        <v>8760</v>
      </c>
      <c r="CI261">
        <v>8760</v>
      </c>
      <c r="CJ261">
        <v>8760</v>
      </c>
      <c r="CK261">
        <v>8760</v>
      </c>
      <c r="CL261">
        <v>8760</v>
      </c>
      <c r="CM261">
        <v>8760</v>
      </c>
      <c r="CN261">
        <v>8760</v>
      </c>
      <c r="CO261">
        <v>8760</v>
      </c>
      <c r="CP261">
        <v>8760</v>
      </c>
      <c r="CQ261">
        <v>8760</v>
      </c>
      <c r="CR261">
        <v>8760</v>
      </c>
      <c r="CS261">
        <v>8760</v>
      </c>
      <c r="CT261">
        <v>8760</v>
      </c>
      <c r="CU261">
        <v>8760</v>
      </c>
      <c r="CV261">
        <v>8760</v>
      </c>
      <c r="CW261">
        <v>8760</v>
      </c>
      <c r="CX261">
        <v>8760</v>
      </c>
      <c r="CY261">
        <v>8760</v>
      </c>
      <c r="CZ261">
        <v>8760</v>
      </c>
      <c r="DA261">
        <v>8760</v>
      </c>
      <c r="DB261">
        <v>8760</v>
      </c>
    </row>
    <row r="262" spans="1:106" x14ac:dyDescent="0.25">
      <c r="A262" s="13" t="s">
        <v>279</v>
      </c>
      <c r="B262" t="s">
        <v>278</v>
      </c>
      <c r="C262" t="s">
        <v>438</v>
      </c>
      <c r="D262" t="s">
        <v>872</v>
      </c>
      <c r="E262" t="s">
        <v>873</v>
      </c>
      <c r="F262">
        <v>102126</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1</v>
      </c>
      <c r="AR262">
        <v>11</v>
      </c>
      <c r="AS262">
        <v>22</v>
      </c>
      <c r="AT262">
        <v>30</v>
      </c>
      <c r="AU262">
        <v>44</v>
      </c>
      <c r="AV262">
        <v>65</v>
      </c>
      <c r="AW262">
        <v>92</v>
      </c>
      <c r="AX262">
        <v>122</v>
      </c>
      <c r="AY262">
        <v>168</v>
      </c>
      <c r="AZ262">
        <v>249</v>
      </c>
      <c r="BA262">
        <v>371</v>
      </c>
      <c r="BB262">
        <v>578</v>
      </c>
      <c r="BC262">
        <v>855</v>
      </c>
      <c r="BD262">
        <v>1202</v>
      </c>
      <c r="BE262">
        <v>1571</v>
      </c>
      <c r="BF262">
        <v>2007</v>
      </c>
      <c r="BG262">
        <v>2466</v>
      </c>
      <c r="BH262">
        <v>2876</v>
      </c>
      <c r="BI262">
        <v>3331</v>
      </c>
      <c r="BJ262">
        <v>3735</v>
      </c>
      <c r="BK262">
        <v>4138</v>
      </c>
      <c r="BL262">
        <v>4484</v>
      </c>
      <c r="BM262">
        <v>4780</v>
      </c>
      <c r="BN262">
        <v>5169</v>
      </c>
      <c r="BO262">
        <v>5546</v>
      </c>
      <c r="BP262">
        <v>5946</v>
      </c>
      <c r="BQ262">
        <v>6382</v>
      </c>
      <c r="BR262">
        <v>6806</v>
      </c>
      <c r="BS262">
        <v>7204</v>
      </c>
      <c r="BT262">
        <v>7506</v>
      </c>
      <c r="BU262">
        <v>7776</v>
      </c>
      <c r="BV262">
        <v>8019</v>
      </c>
      <c r="BW262">
        <v>8179</v>
      </c>
      <c r="BX262">
        <v>8297</v>
      </c>
      <c r="BY262">
        <v>8423</v>
      </c>
      <c r="BZ262">
        <v>8512</v>
      </c>
      <c r="CA262">
        <v>8569</v>
      </c>
      <c r="CB262">
        <v>8625</v>
      </c>
      <c r="CC262">
        <v>8671</v>
      </c>
      <c r="CD262">
        <v>8711</v>
      </c>
      <c r="CE262">
        <v>8735</v>
      </c>
      <c r="CF262">
        <v>8747</v>
      </c>
      <c r="CG262">
        <v>8757</v>
      </c>
      <c r="CH262">
        <v>8760</v>
      </c>
      <c r="CI262">
        <v>8760</v>
      </c>
      <c r="CJ262">
        <v>8760</v>
      </c>
      <c r="CK262">
        <v>8760</v>
      </c>
      <c r="CL262">
        <v>8760</v>
      </c>
      <c r="CM262">
        <v>8760</v>
      </c>
      <c r="CN262">
        <v>8760</v>
      </c>
      <c r="CO262">
        <v>8760</v>
      </c>
      <c r="CP262">
        <v>8760</v>
      </c>
      <c r="CQ262">
        <v>8760</v>
      </c>
      <c r="CR262">
        <v>8760</v>
      </c>
      <c r="CS262">
        <v>8760</v>
      </c>
      <c r="CT262">
        <v>8760</v>
      </c>
      <c r="CU262">
        <v>8760</v>
      </c>
      <c r="CV262">
        <v>8760</v>
      </c>
      <c r="CW262">
        <v>8760</v>
      </c>
      <c r="CX262">
        <v>8760</v>
      </c>
      <c r="CY262">
        <v>8760</v>
      </c>
      <c r="CZ262">
        <v>8760</v>
      </c>
      <c r="DA262">
        <v>8760</v>
      </c>
      <c r="DB262">
        <v>8760</v>
      </c>
    </row>
    <row r="263" spans="1:106" x14ac:dyDescent="0.25">
      <c r="A263" s="13" t="s">
        <v>280</v>
      </c>
      <c r="B263" t="s">
        <v>279</v>
      </c>
      <c r="C263" t="s">
        <v>438</v>
      </c>
      <c r="D263" t="s">
        <v>874</v>
      </c>
      <c r="E263" t="s">
        <v>875</v>
      </c>
      <c r="F263">
        <v>102122</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1</v>
      </c>
      <c r="AR263">
        <v>10</v>
      </c>
      <c r="AS263">
        <v>12</v>
      </c>
      <c r="AT263">
        <v>15</v>
      </c>
      <c r="AU263">
        <v>23</v>
      </c>
      <c r="AV263">
        <v>44</v>
      </c>
      <c r="AW263">
        <v>66</v>
      </c>
      <c r="AX263">
        <v>89</v>
      </c>
      <c r="AY263">
        <v>110</v>
      </c>
      <c r="AZ263">
        <v>159</v>
      </c>
      <c r="BA263">
        <v>253</v>
      </c>
      <c r="BB263">
        <v>394</v>
      </c>
      <c r="BC263">
        <v>629</v>
      </c>
      <c r="BD263">
        <v>911</v>
      </c>
      <c r="BE263">
        <v>1269</v>
      </c>
      <c r="BF263">
        <v>1691</v>
      </c>
      <c r="BG263">
        <v>2117</v>
      </c>
      <c r="BH263">
        <v>2716</v>
      </c>
      <c r="BI263">
        <v>3293</v>
      </c>
      <c r="BJ263">
        <v>3674</v>
      </c>
      <c r="BK263">
        <v>4004</v>
      </c>
      <c r="BL263">
        <v>4342</v>
      </c>
      <c r="BM263">
        <v>4680</v>
      </c>
      <c r="BN263">
        <v>5045</v>
      </c>
      <c r="BO263">
        <v>5402</v>
      </c>
      <c r="BP263">
        <v>5803</v>
      </c>
      <c r="BQ263">
        <v>6223</v>
      </c>
      <c r="BR263">
        <v>6691</v>
      </c>
      <c r="BS263">
        <v>7095</v>
      </c>
      <c r="BT263">
        <v>7506</v>
      </c>
      <c r="BU263">
        <v>7824</v>
      </c>
      <c r="BV263">
        <v>8080</v>
      </c>
      <c r="BW263">
        <v>8268</v>
      </c>
      <c r="BX263">
        <v>8427</v>
      </c>
      <c r="BY263">
        <v>8556</v>
      </c>
      <c r="BZ263">
        <v>8630</v>
      </c>
      <c r="CA263">
        <v>8669</v>
      </c>
      <c r="CB263">
        <v>8701</v>
      </c>
      <c r="CC263">
        <v>8725</v>
      </c>
      <c r="CD263">
        <v>8749</v>
      </c>
      <c r="CE263">
        <v>8758</v>
      </c>
      <c r="CF263">
        <v>8760</v>
      </c>
      <c r="CG263">
        <v>8760</v>
      </c>
      <c r="CH263">
        <v>8760</v>
      </c>
      <c r="CI263">
        <v>8760</v>
      </c>
      <c r="CJ263">
        <v>8760</v>
      </c>
      <c r="CK263">
        <v>8760</v>
      </c>
      <c r="CL263">
        <v>8760</v>
      </c>
      <c r="CM263">
        <v>8760</v>
      </c>
      <c r="CN263">
        <v>8760</v>
      </c>
      <c r="CO263">
        <v>8760</v>
      </c>
      <c r="CP263">
        <v>8760</v>
      </c>
      <c r="CQ263">
        <v>8760</v>
      </c>
      <c r="CR263">
        <v>8760</v>
      </c>
      <c r="CS263">
        <v>8760</v>
      </c>
      <c r="CT263">
        <v>8760</v>
      </c>
      <c r="CU263">
        <v>8760</v>
      </c>
      <c r="CV263">
        <v>8760</v>
      </c>
      <c r="CW263">
        <v>8760</v>
      </c>
      <c r="CX263">
        <v>8760</v>
      </c>
      <c r="CY263">
        <v>8760</v>
      </c>
      <c r="CZ263">
        <v>8760</v>
      </c>
      <c r="DA263">
        <v>8760</v>
      </c>
      <c r="DB263">
        <v>8760</v>
      </c>
    </row>
    <row r="264" spans="1:106" x14ac:dyDescent="0.25">
      <c r="A264" s="13" t="s">
        <v>281</v>
      </c>
      <c r="B264" t="s">
        <v>280</v>
      </c>
      <c r="C264" t="s">
        <v>438</v>
      </c>
      <c r="D264" t="s">
        <v>876</v>
      </c>
      <c r="E264" t="s">
        <v>877</v>
      </c>
      <c r="F264">
        <v>102802</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2</v>
      </c>
      <c r="AB264">
        <v>6</v>
      </c>
      <c r="AC264">
        <v>11</v>
      </c>
      <c r="AD264">
        <v>14</v>
      </c>
      <c r="AE264">
        <v>24</v>
      </c>
      <c r="AF264">
        <v>37</v>
      </c>
      <c r="AG264">
        <v>44</v>
      </c>
      <c r="AH264">
        <v>55</v>
      </c>
      <c r="AI264">
        <v>68</v>
      </c>
      <c r="AJ264">
        <v>89</v>
      </c>
      <c r="AK264">
        <v>131</v>
      </c>
      <c r="AL264">
        <v>156</v>
      </c>
      <c r="AM264">
        <v>193</v>
      </c>
      <c r="AN264">
        <v>244</v>
      </c>
      <c r="AO264">
        <v>302</v>
      </c>
      <c r="AP264">
        <v>376</v>
      </c>
      <c r="AQ264">
        <v>478</v>
      </c>
      <c r="AR264">
        <v>571</v>
      </c>
      <c r="AS264">
        <v>673</v>
      </c>
      <c r="AT264">
        <v>810</v>
      </c>
      <c r="AU264">
        <v>943</v>
      </c>
      <c r="AV264">
        <v>1072</v>
      </c>
      <c r="AW264">
        <v>1277</v>
      </c>
      <c r="AX264">
        <v>1500</v>
      </c>
      <c r="AY264">
        <v>1762</v>
      </c>
      <c r="AZ264">
        <v>2008</v>
      </c>
      <c r="BA264">
        <v>2312</v>
      </c>
      <c r="BB264">
        <v>2643</v>
      </c>
      <c r="BC264">
        <v>2977</v>
      </c>
      <c r="BD264">
        <v>3310</v>
      </c>
      <c r="BE264">
        <v>3694</v>
      </c>
      <c r="BF264">
        <v>3996</v>
      </c>
      <c r="BG264">
        <v>4332</v>
      </c>
      <c r="BH264">
        <v>4674</v>
      </c>
      <c r="BI264">
        <v>4987</v>
      </c>
      <c r="BJ264">
        <v>5282</v>
      </c>
      <c r="BK264">
        <v>5600</v>
      </c>
      <c r="BL264">
        <v>5890</v>
      </c>
      <c r="BM264">
        <v>6251</v>
      </c>
      <c r="BN264">
        <v>6616</v>
      </c>
      <c r="BO264">
        <v>6925</v>
      </c>
      <c r="BP264">
        <v>7206</v>
      </c>
      <c r="BQ264">
        <v>7505</v>
      </c>
      <c r="BR264">
        <v>7741</v>
      </c>
      <c r="BS264">
        <v>7949</v>
      </c>
      <c r="BT264">
        <v>8128</v>
      </c>
      <c r="BU264">
        <v>8268</v>
      </c>
      <c r="BV264">
        <v>8367</v>
      </c>
      <c r="BW264">
        <v>8452</v>
      </c>
      <c r="BX264">
        <v>8529</v>
      </c>
      <c r="BY264">
        <v>8575</v>
      </c>
      <c r="BZ264">
        <v>8612</v>
      </c>
      <c r="CA264">
        <v>8644</v>
      </c>
      <c r="CB264">
        <v>8665</v>
      </c>
      <c r="CC264">
        <v>8689</v>
      </c>
      <c r="CD264">
        <v>8723</v>
      </c>
      <c r="CE264">
        <v>8743</v>
      </c>
      <c r="CF264">
        <v>8758</v>
      </c>
      <c r="CG264">
        <v>8760</v>
      </c>
      <c r="CH264">
        <v>8760</v>
      </c>
      <c r="CI264">
        <v>8760</v>
      </c>
      <c r="CJ264">
        <v>8760</v>
      </c>
      <c r="CK264">
        <v>8760</v>
      </c>
      <c r="CL264">
        <v>8760</v>
      </c>
      <c r="CM264">
        <v>8760</v>
      </c>
      <c r="CN264">
        <v>8760</v>
      </c>
      <c r="CO264">
        <v>8760</v>
      </c>
      <c r="CP264">
        <v>8760</v>
      </c>
      <c r="CQ264">
        <v>8760</v>
      </c>
      <c r="CR264">
        <v>8760</v>
      </c>
      <c r="CS264">
        <v>8760</v>
      </c>
      <c r="CT264">
        <v>8760</v>
      </c>
      <c r="CU264">
        <v>8760</v>
      </c>
      <c r="CV264">
        <v>8760</v>
      </c>
      <c r="CW264">
        <v>8760</v>
      </c>
      <c r="CX264">
        <v>8760</v>
      </c>
      <c r="CY264">
        <v>8760</v>
      </c>
      <c r="CZ264">
        <v>8760</v>
      </c>
      <c r="DA264">
        <v>8760</v>
      </c>
      <c r="DB264">
        <v>8760</v>
      </c>
    </row>
    <row r="265" spans="1:106" x14ac:dyDescent="0.25">
      <c r="A265" s="13" t="s">
        <v>282</v>
      </c>
      <c r="B265" t="s">
        <v>281</v>
      </c>
      <c r="C265" t="s">
        <v>438</v>
      </c>
      <c r="D265" t="s">
        <v>878</v>
      </c>
      <c r="E265" t="s">
        <v>879</v>
      </c>
      <c r="F265">
        <v>102245</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3</v>
      </c>
      <c r="AO265">
        <v>13</v>
      </c>
      <c r="AP265">
        <v>25</v>
      </c>
      <c r="AQ265">
        <v>55</v>
      </c>
      <c r="AR265">
        <v>81</v>
      </c>
      <c r="AS265">
        <v>112</v>
      </c>
      <c r="AT265">
        <v>143</v>
      </c>
      <c r="AU265">
        <v>188</v>
      </c>
      <c r="AV265">
        <v>247</v>
      </c>
      <c r="AW265">
        <v>331</v>
      </c>
      <c r="AX265">
        <v>441</v>
      </c>
      <c r="AY265">
        <v>574</v>
      </c>
      <c r="AZ265">
        <v>743</v>
      </c>
      <c r="BA265">
        <v>909</v>
      </c>
      <c r="BB265">
        <v>1155</v>
      </c>
      <c r="BC265">
        <v>1426</v>
      </c>
      <c r="BD265">
        <v>1677</v>
      </c>
      <c r="BE265">
        <v>2080</v>
      </c>
      <c r="BF265">
        <v>2514</v>
      </c>
      <c r="BG265">
        <v>3001</v>
      </c>
      <c r="BH265">
        <v>3413</v>
      </c>
      <c r="BI265">
        <v>3778</v>
      </c>
      <c r="BJ265">
        <v>4165</v>
      </c>
      <c r="BK265">
        <v>4605</v>
      </c>
      <c r="BL265">
        <v>4950</v>
      </c>
      <c r="BM265">
        <v>5271</v>
      </c>
      <c r="BN265">
        <v>5656</v>
      </c>
      <c r="BO265">
        <v>6065</v>
      </c>
      <c r="BP265">
        <v>6436</v>
      </c>
      <c r="BQ265">
        <v>6800</v>
      </c>
      <c r="BR265">
        <v>7159</v>
      </c>
      <c r="BS265">
        <v>7505</v>
      </c>
      <c r="BT265">
        <v>7769</v>
      </c>
      <c r="BU265">
        <v>8005</v>
      </c>
      <c r="BV265">
        <v>8210</v>
      </c>
      <c r="BW265">
        <v>8362</v>
      </c>
      <c r="BX265">
        <v>8459</v>
      </c>
      <c r="BY265">
        <v>8528</v>
      </c>
      <c r="BZ265">
        <v>8583</v>
      </c>
      <c r="CA265">
        <v>8627</v>
      </c>
      <c r="CB265">
        <v>8665</v>
      </c>
      <c r="CC265">
        <v>8710</v>
      </c>
      <c r="CD265">
        <v>8733</v>
      </c>
      <c r="CE265">
        <v>8749</v>
      </c>
      <c r="CF265">
        <v>8758</v>
      </c>
      <c r="CG265">
        <v>8760</v>
      </c>
      <c r="CH265">
        <v>8760</v>
      </c>
      <c r="CI265">
        <v>8760</v>
      </c>
      <c r="CJ265">
        <v>8760</v>
      </c>
      <c r="CK265">
        <v>8760</v>
      </c>
      <c r="CL265">
        <v>8760</v>
      </c>
      <c r="CM265">
        <v>8760</v>
      </c>
      <c r="CN265">
        <v>8760</v>
      </c>
      <c r="CO265">
        <v>8760</v>
      </c>
      <c r="CP265">
        <v>8760</v>
      </c>
      <c r="CQ265">
        <v>8760</v>
      </c>
      <c r="CR265">
        <v>8760</v>
      </c>
      <c r="CS265">
        <v>8760</v>
      </c>
      <c r="CT265">
        <v>8760</v>
      </c>
      <c r="CU265">
        <v>8760</v>
      </c>
      <c r="CV265">
        <v>8760</v>
      </c>
      <c r="CW265">
        <v>8760</v>
      </c>
      <c r="CX265">
        <v>8760</v>
      </c>
      <c r="CY265">
        <v>8760</v>
      </c>
      <c r="CZ265">
        <v>8760</v>
      </c>
      <c r="DA265">
        <v>8760</v>
      </c>
      <c r="DB265">
        <v>8760</v>
      </c>
    </row>
    <row r="266" spans="1:106" x14ac:dyDescent="0.25">
      <c r="A266" s="13" t="s">
        <v>283</v>
      </c>
      <c r="B266" t="s">
        <v>282</v>
      </c>
      <c r="C266" t="s">
        <v>438</v>
      </c>
      <c r="D266" t="s">
        <v>880</v>
      </c>
      <c r="E266" t="s">
        <v>881</v>
      </c>
      <c r="F266">
        <v>102821</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2</v>
      </c>
      <c r="AI266">
        <v>7</v>
      </c>
      <c r="AJ266">
        <v>20</v>
      </c>
      <c r="AK266">
        <v>35</v>
      </c>
      <c r="AL266">
        <v>50</v>
      </c>
      <c r="AM266">
        <v>69</v>
      </c>
      <c r="AN266">
        <v>91</v>
      </c>
      <c r="AO266">
        <v>142</v>
      </c>
      <c r="AP266">
        <v>197</v>
      </c>
      <c r="AQ266">
        <v>265</v>
      </c>
      <c r="AR266">
        <v>357</v>
      </c>
      <c r="AS266">
        <v>483</v>
      </c>
      <c r="AT266">
        <v>642</v>
      </c>
      <c r="AU266">
        <v>811</v>
      </c>
      <c r="AV266">
        <v>970</v>
      </c>
      <c r="AW266">
        <v>1182</v>
      </c>
      <c r="AX266">
        <v>1386</v>
      </c>
      <c r="AY266">
        <v>1615</v>
      </c>
      <c r="AZ266">
        <v>1863</v>
      </c>
      <c r="BA266">
        <v>2224</v>
      </c>
      <c r="BB266">
        <v>2576</v>
      </c>
      <c r="BC266">
        <v>2917</v>
      </c>
      <c r="BD266">
        <v>3316</v>
      </c>
      <c r="BE266">
        <v>3807</v>
      </c>
      <c r="BF266">
        <v>4187</v>
      </c>
      <c r="BG266">
        <v>4530</v>
      </c>
      <c r="BH266">
        <v>4841</v>
      </c>
      <c r="BI266">
        <v>5106</v>
      </c>
      <c r="BJ266">
        <v>5390</v>
      </c>
      <c r="BK266">
        <v>5728</v>
      </c>
      <c r="BL266">
        <v>6073</v>
      </c>
      <c r="BM266">
        <v>6426</v>
      </c>
      <c r="BN266">
        <v>6773</v>
      </c>
      <c r="BO266">
        <v>7114</v>
      </c>
      <c r="BP266">
        <v>7414</v>
      </c>
      <c r="BQ266">
        <v>7688</v>
      </c>
      <c r="BR266">
        <v>7908</v>
      </c>
      <c r="BS266">
        <v>8089</v>
      </c>
      <c r="BT266">
        <v>8217</v>
      </c>
      <c r="BU266">
        <v>8341</v>
      </c>
      <c r="BV266">
        <v>8451</v>
      </c>
      <c r="BW266">
        <v>8523</v>
      </c>
      <c r="BX266">
        <v>8595</v>
      </c>
      <c r="BY266">
        <v>8638</v>
      </c>
      <c r="BZ266">
        <v>8667</v>
      </c>
      <c r="CA266">
        <v>8695</v>
      </c>
      <c r="CB266">
        <v>8722</v>
      </c>
      <c r="CC266">
        <v>8742</v>
      </c>
      <c r="CD266">
        <v>8752</v>
      </c>
      <c r="CE266">
        <v>8760</v>
      </c>
      <c r="CF266">
        <v>8760</v>
      </c>
      <c r="CG266">
        <v>8760</v>
      </c>
      <c r="CH266">
        <v>8760</v>
      </c>
      <c r="CI266">
        <v>8760</v>
      </c>
      <c r="CJ266">
        <v>8760</v>
      </c>
      <c r="CK266">
        <v>8760</v>
      </c>
      <c r="CL266">
        <v>8760</v>
      </c>
      <c r="CM266">
        <v>8760</v>
      </c>
      <c r="CN266">
        <v>8760</v>
      </c>
      <c r="CO266">
        <v>8760</v>
      </c>
      <c r="CP266">
        <v>8760</v>
      </c>
      <c r="CQ266">
        <v>8760</v>
      </c>
      <c r="CR266">
        <v>8760</v>
      </c>
      <c r="CS266">
        <v>8760</v>
      </c>
      <c r="CT266">
        <v>8760</v>
      </c>
      <c r="CU266">
        <v>8760</v>
      </c>
      <c r="CV266">
        <v>8760</v>
      </c>
      <c r="CW266">
        <v>8760</v>
      </c>
      <c r="CX266">
        <v>8760</v>
      </c>
      <c r="CY266">
        <v>8760</v>
      </c>
      <c r="CZ266">
        <v>8760</v>
      </c>
      <c r="DA266">
        <v>8760</v>
      </c>
      <c r="DB266">
        <v>8760</v>
      </c>
    </row>
    <row r="267" spans="1:106" x14ac:dyDescent="0.25">
      <c r="A267" s="13" t="s">
        <v>284</v>
      </c>
      <c r="B267" t="s">
        <v>242</v>
      </c>
      <c r="C267" t="s">
        <v>438</v>
      </c>
      <c r="D267" t="s">
        <v>882</v>
      </c>
      <c r="E267" t="s">
        <v>883</v>
      </c>
      <c r="F267">
        <v>102518</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1</v>
      </c>
      <c r="AO267">
        <v>15</v>
      </c>
      <c r="AP267">
        <v>35</v>
      </c>
      <c r="AQ267">
        <v>44</v>
      </c>
      <c r="AR267">
        <v>60</v>
      </c>
      <c r="AS267">
        <v>75</v>
      </c>
      <c r="AT267">
        <v>98</v>
      </c>
      <c r="AU267">
        <v>121</v>
      </c>
      <c r="AV267">
        <v>190</v>
      </c>
      <c r="AW267">
        <v>270</v>
      </c>
      <c r="AX267">
        <v>368</v>
      </c>
      <c r="AY267">
        <v>480</v>
      </c>
      <c r="AZ267">
        <v>576</v>
      </c>
      <c r="BA267">
        <v>695</v>
      </c>
      <c r="BB267">
        <v>840</v>
      </c>
      <c r="BC267">
        <v>1097</v>
      </c>
      <c r="BD267">
        <v>1434</v>
      </c>
      <c r="BE267">
        <v>1937</v>
      </c>
      <c r="BF267">
        <v>2443</v>
      </c>
      <c r="BG267">
        <v>2876</v>
      </c>
      <c r="BH267">
        <v>3300</v>
      </c>
      <c r="BI267">
        <v>3744</v>
      </c>
      <c r="BJ267">
        <v>4128</v>
      </c>
      <c r="BK267">
        <v>4426</v>
      </c>
      <c r="BL267">
        <v>4724</v>
      </c>
      <c r="BM267">
        <v>5068</v>
      </c>
      <c r="BN267">
        <v>5415</v>
      </c>
      <c r="BO267">
        <v>5767</v>
      </c>
      <c r="BP267">
        <v>6133</v>
      </c>
      <c r="BQ267">
        <v>6496</v>
      </c>
      <c r="BR267">
        <v>6927</v>
      </c>
      <c r="BS267">
        <v>7327</v>
      </c>
      <c r="BT267">
        <v>7661</v>
      </c>
      <c r="BU267">
        <v>7944</v>
      </c>
      <c r="BV267">
        <v>8172</v>
      </c>
      <c r="BW267">
        <v>8340</v>
      </c>
      <c r="BX267">
        <v>8461</v>
      </c>
      <c r="BY267">
        <v>8554</v>
      </c>
      <c r="BZ267">
        <v>8617</v>
      </c>
      <c r="CA267">
        <v>8677</v>
      </c>
      <c r="CB267">
        <v>8721</v>
      </c>
      <c r="CC267">
        <v>8744</v>
      </c>
      <c r="CD267">
        <v>8753</v>
      </c>
      <c r="CE267">
        <v>8760</v>
      </c>
      <c r="CF267">
        <v>8760</v>
      </c>
      <c r="CG267">
        <v>8760</v>
      </c>
      <c r="CH267">
        <v>8760</v>
      </c>
      <c r="CI267">
        <v>8760</v>
      </c>
      <c r="CJ267">
        <v>8760</v>
      </c>
      <c r="CK267">
        <v>8760</v>
      </c>
      <c r="CL267">
        <v>8760</v>
      </c>
      <c r="CM267">
        <v>8760</v>
      </c>
      <c r="CN267">
        <v>8760</v>
      </c>
      <c r="CO267">
        <v>8760</v>
      </c>
      <c r="CP267">
        <v>8760</v>
      </c>
      <c r="CQ267">
        <v>8760</v>
      </c>
      <c r="CR267">
        <v>8760</v>
      </c>
      <c r="CS267">
        <v>8760</v>
      </c>
      <c r="CT267">
        <v>8760</v>
      </c>
      <c r="CU267">
        <v>8760</v>
      </c>
      <c r="CV267">
        <v>8760</v>
      </c>
      <c r="CW267">
        <v>8760</v>
      </c>
      <c r="CX267">
        <v>8760</v>
      </c>
      <c r="CY267">
        <v>8760</v>
      </c>
      <c r="CZ267">
        <v>8760</v>
      </c>
      <c r="DA267">
        <v>8760</v>
      </c>
      <c r="DB267">
        <v>8760</v>
      </c>
    </row>
    <row r="268" spans="1:106" x14ac:dyDescent="0.25">
      <c r="A268" s="13" t="s">
        <v>285</v>
      </c>
      <c r="B268" t="s">
        <v>236</v>
      </c>
      <c r="C268" t="s">
        <v>438</v>
      </c>
      <c r="D268" t="s">
        <v>884</v>
      </c>
      <c r="E268" t="s">
        <v>885</v>
      </c>
      <c r="F268">
        <v>102502</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5</v>
      </c>
      <c r="AJ268">
        <v>12</v>
      </c>
      <c r="AK268">
        <v>20</v>
      </c>
      <c r="AL268">
        <v>22</v>
      </c>
      <c r="AM268">
        <v>25</v>
      </c>
      <c r="AN268">
        <v>35</v>
      </c>
      <c r="AO268">
        <v>51</v>
      </c>
      <c r="AP268">
        <v>74</v>
      </c>
      <c r="AQ268">
        <v>105</v>
      </c>
      <c r="AR268">
        <v>140</v>
      </c>
      <c r="AS268">
        <v>159</v>
      </c>
      <c r="AT268">
        <v>189</v>
      </c>
      <c r="AU268">
        <v>225</v>
      </c>
      <c r="AV268">
        <v>275</v>
      </c>
      <c r="AW268">
        <v>347</v>
      </c>
      <c r="AX268">
        <v>430</v>
      </c>
      <c r="AY268">
        <v>532</v>
      </c>
      <c r="AZ268">
        <v>665</v>
      </c>
      <c r="BA268">
        <v>843</v>
      </c>
      <c r="BB268">
        <v>1051</v>
      </c>
      <c r="BC268">
        <v>1350</v>
      </c>
      <c r="BD268">
        <v>1657</v>
      </c>
      <c r="BE268">
        <v>2098</v>
      </c>
      <c r="BF268">
        <v>2540</v>
      </c>
      <c r="BG268">
        <v>2905</v>
      </c>
      <c r="BH268">
        <v>3368</v>
      </c>
      <c r="BI268">
        <v>3782</v>
      </c>
      <c r="BJ268">
        <v>4154</v>
      </c>
      <c r="BK268">
        <v>4509</v>
      </c>
      <c r="BL268">
        <v>4868</v>
      </c>
      <c r="BM268">
        <v>5255</v>
      </c>
      <c r="BN268">
        <v>5595</v>
      </c>
      <c r="BO268">
        <v>5995</v>
      </c>
      <c r="BP268">
        <v>6363</v>
      </c>
      <c r="BQ268">
        <v>6696</v>
      </c>
      <c r="BR268">
        <v>7013</v>
      </c>
      <c r="BS268">
        <v>7367</v>
      </c>
      <c r="BT268">
        <v>7665</v>
      </c>
      <c r="BU268">
        <v>7920</v>
      </c>
      <c r="BV268">
        <v>8150</v>
      </c>
      <c r="BW268">
        <v>8351</v>
      </c>
      <c r="BX268">
        <v>8482</v>
      </c>
      <c r="BY268">
        <v>8583</v>
      </c>
      <c r="BZ268">
        <v>8643</v>
      </c>
      <c r="CA268">
        <v>8675</v>
      </c>
      <c r="CB268">
        <v>8691</v>
      </c>
      <c r="CC268">
        <v>8709</v>
      </c>
      <c r="CD268">
        <v>8735</v>
      </c>
      <c r="CE268">
        <v>8753</v>
      </c>
      <c r="CF268">
        <v>8760</v>
      </c>
      <c r="CG268">
        <v>8760</v>
      </c>
      <c r="CH268">
        <v>8760</v>
      </c>
      <c r="CI268">
        <v>8760</v>
      </c>
      <c r="CJ268">
        <v>8760</v>
      </c>
      <c r="CK268">
        <v>8760</v>
      </c>
      <c r="CL268">
        <v>8760</v>
      </c>
      <c r="CM268">
        <v>8760</v>
      </c>
      <c r="CN268">
        <v>8760</v>
      </c>
      <c r="CO268">
        <v>8760</v>
      </c>
      <c r="CP268">
        <v>8760</v>
      </c>
      <c r="CQ268">
        <v>8760</v>
      </c>
      <c r="CR268">
        <v>8760</v>
      </c>
      <c r="CS268">
        <v>8760</v>
      </c>
      <c r="CT268">
        <v>8760</v>
      </c>
      <c r="CU268">
        <v>8760</v>
      </c>
      <c r="CV268">
        <v>8760</v>
      </c>
      <c r="CW268">
        <v>8760</v>
      </c>
      <c r="CX268">
        <v>8760</v>
      </c>
      <c r="CY268">
        <v>8760</v>
      </c>
      <c r="CZ268">
        <v>8760</v>
      </c>
      <c r="DA268">
        <v>8760</v>
      </c>
      <c r="DB268">
        <v>8760</v>
      </c>
    </row>
    <row r="269" spans="1:106" x14ac:dyDescent="0.25">
      <c r="A269" s="13" t="s">
        <v>286</v>
      </c>
      <c r="B269" t="s">
        <v>1216</v>
      </c>
      <c r="C269" t="s">
        <v>438</v>
      </c>
      <c r="D269" t="s">
        <v>886</v>
      </c>
      <c r="E269" t="s">
        <v>887</v>
      </c>
      <c r="F269">
        <v>102714</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2</v>
      </c>
      <c r="AB269">
        <v>10</v>
      </c>
      <c r="AC269">
        <v>13</v>
      </c>
      <c r="AD269">
        <v>22</v>
      </c>
      <c r="AE269">
        <v>34</v>
      </c>
      <c r="AF269">
        <v>42</v>
      </c>
      <c r="AG269">
        <v>49</v>
      </c>
      <c r="AH269">
        <v>65</v>
      </c>
      <c r="AI269">
        <v>87</v>
      </c>
      <c r="AJ269">
        <v>116</v>
      </c>
      <c r="AK269">
        <v>151</v>
      </c>
      <c r="AL269">
        <v>186</v>
      </c>
      <c r="AM269">
        <v>224</v>
      </c>
      <c r="AN269">
        <v>271</v>
      </c>
      <c r="AO269">
        <v>329</v>
      </c>
      <c r="AP269">
        <v>382</v>
      </c>
      <c r="AQ269">
        <v>463</v>
      </c>
      <c r="AR269">
        <v>543</v>
      </c>
      <c r="AS269">
        <v>646</v>
      </c>
      <c r="AT269">
        <v>764</v>
      </c>
      <c r="AU269">
        <v>929</v>
      </c>
      <c r="AV269">
        <v>1150</v>
      </c>
      <c r="AW269">
        <v>1377</v>
      </c>
      <c r="AX269">
        <v>1599</v>
      </c>
      <c r="AY269">
        <v>1858</v>
      </c>
      <c r="AZ269">
        <v>2183</v>
      </c>
      <c r="BA269">
        <v>2554</v>
      </c>
      <c r="BB269">
        <v>2939</v>
      </c>
      <c r="BC269">
        <v>3279</v>
      </c>
      <c r="BD269">
        <v>3663</v>
      </c>
      <c r="BE269">
        <v>4079</v>
      </c>
      <c r="BF269">
        <v>4455</v>
      </c>
      <c r="BG269">
        <v>4789</v>
      </c>
      <c r="BH269">
        <v>5044</v>
      </c>
      <c r="BI269">
        <v>5349</v>
      </c>
      <c r="BJ269">
        <v>5623</v>
      </c>
      <c r="BK269">
        <v>5902</v>
      </c>
      <c r="BL269">
        <v>6235</v>
      </c>
      <c r="BM269">
        <v>6536</v>
      </c>
      <c r="BN269">
        <v>6801</v>
      </c>
      <c r="BO269">
        <v>7126</v>
      </c>
      <c r="BP269">
        <v>7402</v>
      </c>
      <c r="BQ269">
        <v>7675</v>
      </c>
      <c r="BR269">
        <v>7894</v>
      </c>
      <c r="BS269">
        <v>8086</v>
      </c>
      <c r="BT269">
        <v>8235</v>
      </c>
      <c r="BU269">
        <v>8338</v>
      </c>
      <c r="BV269">
        <v>8436</v>
      </c>
      <c r="BW269">
        <v>8526</v>
      </c>
      <c r="BX269">
        <v>8584</v>
      </c>
      <c r="BY269">
        <v>8637</v>
      </c>
      <c r="BZ269">
        <v>8663</v>
      </c>
      <c r="CA269">
        <v>8685</v>
      </c>
      <c r="CB269">
        <v>8707</v>
      </c>
      <c r="CC269">
        <v>8728</v>
      </c>
      <c r="CD269">
        <v>8738</v>
      </c>
      <c r="CE269">
        <v>8757</v>
      </c>
      <c r="CF269">
        <v>8760</v>
      </c>
      <c r="CG269">
        <v>8760</v>
      </c>
      <c r="CH269">
        <v>8760</v>
      </c>
      <c r="CI269">
        <v>8760</v>
      </c>
      <c r="CJ269">
        <v>8760</v>
      </c>
      <c r="CK269">
        <v>8760</v>
      </c>
      <c r="CL269">
        <v>8760</v>
      </c>
      <c r="CM269">
        <v>8760</v>
      </c>
      <c r="CN269">
        <v>8760</v>
      </c>
      <c r="CO269">
        <v>8760</v>
      </c>
      <c r="CP269">
        <v>8760</v>
      </c>
      <c r="CQ269">
        <v>8760</v>
      </c>
      <c r="CR269">
        <v>8760</v>
      </c>
      <c r="CS269">
        <v>8760</v>
      </c>
      <c r="CT269">
        <v>8760</v>
      </c>
      <c r="CU269">
        <v>8760</v>
      </c>
      <c r="CV269">
        <v>8760</v>
      </c>
      <c r="CW269">
        <v>8760</v>
      </c>
      <c r="CX269">
        <v>8760</v>
      </c>
      <c r="CY269">
        <v>8760</v>
      </c>
      <c r="CZ269">
        <v>8760</v>
      </c>
      <c r="DA269">
        <v>8760</v>
      </c>
      <c r="DB269">
        <v>8760</v>
      </c>
    </row>
    <row r="270" spans="1:106" x14ac:dyDescent="0.25">
      <c r="A270" s="13" t="s">
        <v>287</v>
      </c>
      <c r="B270" t="s">
        <v>241</v>
      </c>
      <c r="C270" t="s">
        <v>438</v>
      </c>
      <c r="D270" t="s">
        <v>888</v>
      </c>
      <c r="E270" t="s">
        <v>889</v>
      </c>
      <c r="F270">
        <v>102713</v>
      </c>
      <c r="G270">
        <v>0</v>
      </c>
      <c r="H270">
        <v>0</v>
      </c>
      <c r="I270">
        <v>0</v>
      </c>
      <c r="J270">
        <v>0</v>
      </c>
      <c r="K270">
        <v>0</v>
      </c>
      <c r="L270">
        <v>0</v>
      </c>
      <c r="M270">
        <v>0</v>
      </c>
      <c r="N270">
        <v>0</v>
      </c>
      <c r="O270">
        <v>0</v>
      </c>
      <c r="P270">
        <v>0</v>
      </c>
      <c r="Q270">
        <v>0</v>
      </c>
      <c r="R270">
        <v>0</v>
      </c>
      <c r="S270">
        <v>0</v>
      </c>
      <c r="T270">
        <v>0</v>
      </c>
      <c r="U270">
        <v>0</v>
      </c>
      <c r="V270">
        <v>0</v>
      </c>
      <c r="W270">
        <v>0</v>
      </c>
      <c r="X270">
        <v>0</v>
      </c>
      <c r="Y270">
        <v>6</v>
      </c>
      <c r="Z270">
        <v>18</v>
      </c>
      <c r="AA270">
        <v>23</v>
      </c>
      <c r="AB270">
        <v>27</v>
      </c>
      <c r="AC270">
        <v>39</v>
      </c>
      <c r="AD270">
        <v>57</v>
      </c>
      <c r="AE270">
        <v>77</v>
      </c>
      <c r="AF270">
        <v>96</v>
      </c>
      <c r="AG270">
        <v>122</v>
      </c>
      <c r="AH270">
        <v>152</v>
      </c>
      <c r="AI270">
        <v>185</v>
      </c>
      <c r="AJ270">
        <v>225</v>
      </c>
      <c r="AK270">
        <v>270</v>
      </c>
      <c r="AL270">
        <v>319</v>
      </c>
      <c r="AM270">
        <v>356</v>
      </c>
      <c r="AN270">
        <v>416</v>
      </c>
      <c r="AO270">
        <v>481</v>
      </c>
      <c r="AP270">
        <v>560</v>
      </c>
      <c r="AQ270">
        <v>651</v>
      </c>
      <c r="AR270">
        <v>778</v>
      </c>
      <c r="AS270">
        <v>896</v>
      </c>
      <c r="AT270">
        <v>1029</v>
      </c>
      <c r="AU270">
        <v>1193</v>
      </c>
      <c r="AV270">
        <v>1331</v>
      </c>
      <c r="AW270">
        <v>1531</v>
      </c>
      <c r="AX270">
        <v>1773</v>
      </c>
      <c r="AY270">
        <v>1978</v>
      </c>
      <c r="AZ270">
        <v>2206</v>
      </c>
      <c r="BA270">
        <v>2474</v>
      </c>
      <c r="BB270">
        <v>2778</v>
      </c>
      <c r="BC270">
        <v>3155</v>
      </c>
      <c r="BD270">
        <v>3535</v>
      </c>
      <c r="BE270">
        <v>4031</v>
      </c>
      <c r="BF270">
        <v>4406</v>
      </c>
      <c r="BG270">
        <v>4706</v>
      </c>
      <c r="BH270">
        <v>4982</v>
      </c>
      <c r="BI270">
        <v>5269</v>
      </c>
      <c r="BJ270">
        <v>5583</v>
      </c>
      <c r="BK270">
        <v>5864</v>
      </c>
      <c r="BL270">
        <v>6188</v>
      </c>
      <c r="BM270">
        <v>6514</v>
      </c>
      <c r="BN270">
        <v>6823</v>
      </c>
      <c r="BO270">
        <v>7154</v>
      </c>
      <c r="BP270">
        <v>7503</v>
      </c>
      <c r="BQ270">
        <v>7793</v>
      </c>
      <c r="BR270">
        <v>8005</v>
      </c>
      <c r="BS270">
        <v>8206</v>
      </c>
      <c r="BT270">
        <v>8363</v>
      </c>
      <c r="BU270">
        <v>8466</v>
      </c>
      <c r="BV270">
        <v>8538</v>
      </c>
      <c r="BW270">
        <v>8603</v>
      </c>
      <c r="BX270">
        <v>8641</v>
      </c>
      <c r="BY270">
        <v>8659</v>
      </c>
      <c r="BZ270">
        <v>8676</v>
      </c>
      <c r="CA270">
        <v>8694</v>
      </c>
      <c r="CB270">
        <v>8724</v>
      </c>
      <c r="CC270">
        <v>8744</v>
      </c>
      <c r="CD270">
        <v>8752</v>
      </c>
      <c r="CE270">
        <v>8757</v>
      </c>
      <c r="CF270">
        <v>8758</v>
      </c>
      <c r="CG270">
        <v>8760</v>
      </c>
      <c r="CH270">
        <v>8760</v>
      </c>
      <c r="CI270">
        <v>8760</v>
      </c>
      <c r="CJ270">
        <v>8760</v>
      </c>
      <c r="CK270">
        <v>8760</v>
      </c>
      <c r="CL270">
        <v>8760</v>
      </c>
      <c r="CM270">
        <v>8760</v>
      </c>
      <c r="CN270">
        <v>8760</v>
      </c>
      <c r="CO270">
        <v>8760</v>
      </c>
      <c r="CP270">
        <v>8760</v>
      </c>
      <c r="CQ270">
        <v>8760</v>
      </c>
      <c r="CR270">
        <v>8760</v>
      </c>
      <c r="CS270">
        <v>8760</v>
      </c>
      <c r="CT270">
        <v>8760</v>
      </c>
      <c r="CU270">
        <v>8760</v>
      </c>
      <c r="CV270">
        <v>8760</v>
      </c>
      <c r="CW270">
        <v>8760</v>
      </c>
      <c r="CX270">
        <v>8760</v>
      </c>
      <c r="CY270">
        <v>8760</v>
      </c>
      <c r="CZ270">
        <v>8760</v>
      </c>
      <c r="DA270">
        <v>8760</v>
      </c>
      <c r="DB270">
        <v>8760</v>
      </c>
    </row>
    <row r="271" spans="1:106" x14ac:dyDescent="0.25">
      <c r="A271" s="13" t="s">
        <v>288</v>
      </c>
      <c r="B271" t="s">
        <v>243</v>
      </c>
      <c r="C271" t="s">
        <v>438</v>
      </c>
      <c r="D271" t="s">
        <v>890</v>
      </c>
      <c r="E271" t="s">
        <v>891</v>
      </c>
      <c r="F271">
        <v>102703</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2</v>
      </c>
      <c r="AK271">
        <v>7</v>
      </c>
      <c r="AL271">
        <v>20</v>
      </c>
      <c r="AM271">
        <v>36</v>
      </c>
      <c r="AN271">
        <v>71</v>
      </c>
      <c r="AO271">
        <v>109</v>
      </c>
      <c r="AP271">
        <v>159</v>
      </c>
      <c r="AQ271">
        <v>190</v>
      </c>
      <c r="AR271">
        <v>217</v>
      </c>
      <c r="AS271">
        <v>282</v>
      </c>
      <c r="AT271">
        <v>366</v>
      </c>
      <c r="AU271">
        <v>454</v>
      </c>
      <c r="AV271">
        <v>580</v>
      </c>
      <c r="AW271">
        <v>684</v>
      </c>
      <c r="AX271">
        <v>811</v>
      </c>
      <c r="AY271">
        <v>962</v>
      </c>
      <c r="AZ271">
        <v>1151</v>
      </c>
      <c r="BA271">
        <v>1385</v>
      </c>
      <c r="BB271">
        <v>1734</v>
      </c>
      <c r="BC271">
        <v>2186</v>
      </c>
      <c r="BD271">
        <v>2712</v>
      </c>
      <c r="BE271">
        <v>3182</v>
      </c>
      <c r="BF271">
        <v>3574</v>
      </c>
      <c r="BG271">
        <v>3905</v>
      </c>
      <c r="BH271">
        <v>4241</v>
      </c>
      <c r="BI271">
        <v>4555</v>
      </c>
      <c r="BJ271">
        <v>4825</v>
      </c>
      <c r="BK271">
        <v>5062</v>
      </c>
      <c r="BL271">
        <v>5301</v>
      </c>
      <c r="BM271">
        <v>5558</v>
      </c>
      <c r="BN271">
        <v>5880</v>
      </c>
      <c r="BO271">
        <v>6222</v>
      </c>
      <c r="BP271">
        <v>6569</v>
      </c>
      <c r="BQ271">
        <v>6919</v>
      </c>
      <c r="BR271">
        <v>7245</v>
      </c>
      <c r="BS271">
        <v>7528</v>
      </c>
      <c r="BT271">
        <v>7809</v>
      </c>
      <c r="BU271">
        <v>8054</v>
      </c>
      <c r="BV271">
        <v>8251</v>
      </c>
      <c r="BW271">
        <v>8414</v>
      </c>
      <c r="BX271">
        <v>8519</v>
      </c>
      <c r="BY271">
        <v>8602</v>
      </c>
      <c r="BZ271">
        <v>8667</v>
      </c>
      <c r="CA271">
        <v>8709</v>
      </c>
      <c r="CB271">
        <v>8737</v>
      </c>
      <c r="CC271">
        <v>8749</v>
      </c>
      <c r="CD271">
        <v>8758</v>
      </c>
      <c r="CE271">
        <v>8760</v>
      </c>
      <c r="CF271">
        <v>8760</v>
      </c>
      <c r="CG271">
        <v>8760</v>
      </c>
      <c r="CH271">
        <v>8760</v>
      </c>
      <c r="CI271">
        <v>8760</v>
      </c>
      <c r="CJ271">
        <v>8760</v>
      </c>
      <c r="CK271">
        <v>8760</v>
      </c>
      <c r="CL271">
        <v>8760</v>
      </c>
      <c r="CM271">
        <v>8760</v>
      </c>
      <c r="CN271">
        <v>8760</v>
      </c>
      <c r="CO271">
        <v>8760</v>
      </c>
      <c r="CP271">
        <v>8760</v>
      </c>
      <c r="CQ271">
        <v>8760</v>
      </c>
      <c r="CR271">
        <v>8760</v>
      </c>
      <c r="CS271">
        <v>8760</v>
      </c>
      <c r="CT271">
        <v>8760</v>
      </c>
      <c r="CU271">
        <v>8760</v>
      </c>
      <c r="CV271">
        <v>8760</v>
      </c>
      <c r="CW271">
        <v>8760</v>
      </c>
      <c r="CX271">
        <v>8760</v>
      </c>
      <c r="CY271">
        <v>8760</v>
      </c>
      <c r="CZ271">
        <v>8760</v>
      </c>
      <c r="DA271">
        <v>8760</v>
      </c>
      <c r="DB271">
        <v>8760</v>
      </c>
    </row>
    <row r="272" spans="1:106" x14ac:dyDescent="0.25">
      <c r="A272" s="13" t="s">
        <v>289</v>
      </c>
      <c r="B272" t="s">
        <v>244</v>
      </c>
      <c r="C272" t="s">
        <v>438</v>
      </c>
      <c r="D272" t="s">
        <v>892</v>
      </c>
      <c r="E272" t="s">
        <v>893</v>
      </c>
      <c r="F272">
        <v>102334</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4</v>
      </c>
      <c r="AN272">
        <v>11</v>
      </c>
      <c r="AO272">
        <v>15</v>
      </c>
      <c r="AP272">
        <v>27</v>
      </c>
      <c r="AQ272">
        <v>45</v>
      </c>
      <c r="AR272">
        <v>70</v>
      </c>
      <c r="AS272">
        <v>114</v>
      </c>
      <c r="AT272">
        <v>139</v>
      </c>
      <c r="AU272">
        <v>187</v>
      </c>
      <c r="AV272">
        <v>264</v>
      </c>
      <c r="AW272">
        <v>359</v>
      </c>
      <c r="AX272">
        <v>490</v>
      </c>
      <c r="AY272">
        <v>609</v>
      </c>
      <c r="AZ272">
        <v>748</v>
      </c>
      <c r="BA272">
        <v>938</v>
      </c>
      <c r="BB272">
        <v>1188</v>
      </c>
      <c r="BC272">
        <v>1519</v>
      </c>
      <c r="BD272">
        <v>1880</v>
      </c>
      <c r="BE272">
        <v>2269</v>
      </c>
      <c r="BF272">
        <v>2741</v>
      </c>
      <c r="BG272">
        <v>3129</v>
      </c>
      <c r="BH272">
        <v>3556</v>
      </c>
      <c r="BI272">
        <v>3917</v>
      </c>
      <c r="BJ272">
        <v>4287</v>
      </c>
      <c r="BK272">
        <v>4654</v>
      </c>
      <c r="BL272">
        <v>5031</v>
      </c>
      <c r="BM272">
        <v>5390</v>
      </c>
      <c r="BN272">
        <v>5765</v>
      </c>
      <c r="BO272">
        <v>6161</v>
      </c>
      <c r="BP272">
        <v>6563</v>
      </c>
      <c r="BQ272">
        <v>6940</v>
      </c>
      <c r="BR272">
        <v>7262</v>
      </c>
      <c r="BS272">
        <v>7542</v>
      </c>
      <c r="BT272">
        <v>7822</v>
      </c>
      <c r="BU272">
        <v>8048</v>
      </c>
      <c r="BV272">
        <v>8213</v>
      </c>
      <c r="BW272">
        <v>8354</v>
      </c>
      <c r="BX272">
        <v>8460</v>
      </c>
      <c r="BY272">
        <v>8550</v>
      </c>
      <c r="BZ272">
        <v>8633</v>
      </c>
      <c r="CA272">
        <v>8686</v>
      </c>
      <c r="CB272">
        <v>8722</v>
      </c>
      <c r="CC272">
        <v>8738</v>
      </c>
      <c r="CD272">
        <v>8753</v>
      </c>
      <c r="CE272">
        <v>8756</v>
      </c>
      <c r="CF272">
        <v>8759</v>
      </c>
      <c r="CG272">
        <v>8760</v>
      </c>
      <c r="CH272">
        <v>8760</v>
      </c>
      <c r="CI272">
        <v>8760</v>
      </c>
      <c r="CJ272">
        <v>8760</v>
      </c>
      <c r="CK272">
        <v>8760</v>
      </c>
      <c r="CL272">
        <v>8760</v>
      </c>
      <c r="CM272">
        <v>8760</v>
      </c>
      <c r="CN272">
        <v>8760</v>
      </c>
      <c r="CO272">
        <v>8760</v>
      </c>
      <c r="CP272">
        <v>8760</v>
      </c>
      <c r="CQ272">
        <v>8760</v>
      </c>
      <c r="CR272">
        <v>8760</v>
      </c>
      <c r="CS272">
        <v>8760</v>
      </c>
      <c r="CT272">
        <v>8760</v>
      </c>
      <c r="CU272">
        <v>8760</v>
      </c>
      <c r="CV272">
        <v>8760</v>
      </c>
      <c r="CW272">
        <v>8760</v>
      </c>
      <c r="CX272">
        <v>8760</v>
      </c>
      <c r="CY272">
        <v>8760</v>
      </c>
      <c r="CZ272">
        <v>8760</v>
      </c>
      <c r="DA272">
        <v>8760</v>
      </c>
      <c r="DB272">
        <v>8760</v>
      </c>
    </row>
    <row r="273" spans="1:106" x14ac:dyDescent="0.25">
      <c r="A273" s="13" t="s">
        <v>290</v>
      </c>
      <c r="B273" t="s">
        <v>255</v>
      </c>
      <c r="C273" t="s">
        <v>438</v>
      </c>
      <c r="D273" t="s">
        <v>894</v>
      </c>
      <c r="E273" t="s">
        <v>895</v>
      </c>
      <c r="F273">
        <v>102719</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1</v>
      </c>
      <c r="AP273">
        <v>8</v>
      </c>
      <c r="AQ273">
        <v>25</v>
      </c>
      <c r="AR273">
        <v>57</v>
      </c>
      <c r="AS273">
        <v>86</v>
      </c>
      <c r="AT273">
        <v>131</v>
      </c>
      <c r="AU273">
        <v>207</v>
      </c>
      <c r="AV273">
        <v>305</v>
      </c>
      <c r="AW273">
        <v>410</v>
      </c>
      <c r="AX273">
        <v>565</v>
      </c>
      <c r="AY273">
        <v>721</v>
      </c>
      <c r="AZ273">
        <v>872</v>
      </c>
      <c r="BA273">
        <v>1085</v>
      </c>
      <c r="BB273">
        <v>1345</v>
      </c>
      <c r="BC273">
        <v>1703</v>
      </c>
      <c r="BD273">
        <v>2115</v>
      </c>
      <c r="BE273">
        <v>2588</v>
      </c>
      <c r="BF273">
        <v>3052</v>
      </c>
      <c r="BG273">
        <v>3449</v>
      </c>
      <c r="BH273">
        <v>3916</v>
      </c>
      <c r="BI273">
        <v>4399</v>
      </c>
      <c r="BJ273">
        <v>4781</v>
      </c>
      <c r="BK273">
        <v>5109</v>
      </c>
      <c r="BL273">
        <v>5444</v>
      </c>
      <c r="BM273">
        <v>5774</v>
      </c>
      <c r="BN273">
        <v>6132</v>
      </c>
      <c r="BO273">
        <v>6427</v>
      </c>
      <c r="BP273">
        <v>6739</v>
      </c>
      <c r="BQ273">
        <v>7040</v>
      </c>
      <c r="BR273">
        <v>7334</v>
      </c>
      <c r="BS273">
        <v>7631</v>
      </c>
      <c r="BT273">
        <v>7888</v>
      </c>
      <c r="BU273">
        <v>8108</v>
      </c>
      <c r="BV273">
        <v>8271</v>
      </c>
      <c r="BW273">
        <v>8391</v>
      </c>
      <c r="BX273">
        <v>8483</v>
      </c>
      <c r="BY273">
        <v>8558</v>
      </c>
      <c r="BZ273">
        <v>8615</v>
      </c>
      <c r="CA273">
        <v>8675</v>
      </c>
      <c r="CB273">
        <v>8706</v>
      </c>
      <c r="CC273">
        <v>8734</v>
      </c>
      <c r="CD273">
        <v>8746</v>
      </c>
      <c r="CE273">
        <v>8752</v>
      </c>
      <c r="CF273">
        <v>8759</v>
      </c>
      <c r="CG273">
        <v>8760</v>
      </c>
      <c r="CH273">
        <v>8760</v>
      </c>
      <c r="CI273">
        <v>8760</v>
      </c>
      <c r="CJ273">
        <v>8760</v>
      </c>
      <c r="CK273">
        <v>8760</v>
      </c>
      <c r="CL273">
        <v>8760</v>
      </c>
      <c r="CM273">
        <v>8760</v>
      </c>
      <c r="CN273">
        <v>8760</v>
      </c>
      <c r="CO273">
        <v>8760</v>
      </c>
      <c r="CP273">
        <v>8760</v>
      </c>
      <c r="CQ273">
        <v>8760</v>
      </c>
      <c r="CR273">
        <v>8760</v>
      </c>
      <c r="CS273">
        <v>8760</v>
      </c>
      <c r="CT273">
        <v>8760</v>
      </c>
      <c r="CU273">
        <v>8760</v>
      </c>
      <c r="CV273">
        <v>8760</v>
      </c>
      <c r="CW273">
        <v>8760</v>
      </c>
      <c r="CX273">
        <v>8760</v>
      </c>
      <c r="CY273">
        <v>8760</v>
      </c>
      <c r="CZ273">
        <v>8760</v>
      </c>
      <c r="DA273">
        <v>8760</v>
      </c>
      <c r="DB273">
        <v>8760</v>
      </c>
    </row>
    <row r="274" spans="1:106" x14ac:dyDescent="0.25">
      <c r="A274" s="13" t="s">
        <v>291</v>
      </c>
      <c r="B274" t="s">
        <v>256</v>
      </c>
      <c r="C274" t="s">
        <v>438</v>
      </c>
      <c r="D274" t="s">
        <v>896</v>
      </c>
      <c r="E274" t="s">
        <v>897</v>
      </c>
      <c r="F274">
        <v>102421</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4</v>
      </c>
      <c r="AO274">
        <v>5</v>
      </c>
      <c r="AP274">
        <v>8</v>
      </c>
      <c r="AQ274">
        <v>13</v>
      </c>
      <c r="AR274">
        <v>32</v>
      </c>
      <c r="AS274">
        <v>53</v>
      </c>
      <c r="AT274">
        <v>83</v>
      </c>
      <c r="AU274">
        <v>137</v>
      </c>
      <c r="AV274">
        <v>211</v>
      </c>
      <c r="AW274">
        <v>295</v>
      </c>
      <c r="AX274">
        <v>397</v>
      </c>
      <c r="AY274">
        <v>526</v>
      </c>
      <c r="AZ274">
        <v>748</v>
      </c>
      <c r="BA274">
        <v>989</v>
      </c>
      <c r="BB274">
        <v>1304</v>
      </c>
      <c r="BC274">
        <v>1638</v>
      </c>
      <c r="BD274">
        <v>2014</v>
      </c>
      <c r="BE274">
        <v>2464</v>
      </c>
      <c r="BF274">
        <v>2911</v>
      </c>
      <c r="BG274">
        <v>3285</v>
      </c>
      <c r="BH274">
        <v>3607</v>
      </c>
      <c r="BI274">
        <v>3912</v>
      </c>
      <c r="BJ274">
        <v>4243</v>
      </c>
      <c r="BK274">
        <v>4573</v>
      </c>
      <c r="BL274">
        <v>4854</v>
      </c>
      <c r="BM274">
        <v>5153</v>
      </c>
      <c r="BN274">
        <v>5482</v>
      </c>
      <c r="BO274">
        <v>5815</v>
      </c>
      <c r="BP274">
        <v>6156</v>
      </c>
      <c r="BQ274">
        <v>6467</v>
      </c>
      <c r="BR274">
        <v>6772</v>
      </c>
      <c r="BS274">
        <v>7089</v>
      </c>
      <c r="BT274">
        <v>7379</v>
      </c>
      <c r="BU274">
        <v>7612</v>
      </c>
      <c r="BV274">
        <v>7862</v>
      </c>
      <c r="BW274">
        <v>8076</v>
      </c>
      <c r="BX274">
        <v>8238</v>
      </c>
      <c r="BY274">
        <v>8370</v>
      </c>
      <c r="BZ274">
        <v>8482</v>
      </c>
      <c r="CA274">
        <v>8551</v>
      </c>
      <c r="CB274">
        <v>8602</v>
      </c>
      <c r="CC274">
        <v>8679</v>
      </c>
      <c r="CD274">
        <v>8721</v>
      </c>
      <c r="CE274">
        <v>8748</v>
      </c>
      <c r="CF274">
        <v>8758</v>
      </c>
      <c r="CG274">
        <v>8760</v>
      </c>
      <c r="CH274">
        <v>8760</v>
      </c>
      <c r="CI274">
        <v>8760</v>
      </c>
      <c r="CJ274">
        <v>8760</v>
      </c>
      <c r="CK274">
        <v>8760</v>
      </c>
      <c r="CL274">
        <v>8760</v>
      </c>
      <c r="CM274">
        <v>8760</v>
      </c>
      <c r="CN274">
        <v>8760</v>
      </c>
      <c r="CO274">
        <v>8760</v>
      </c>
      <c r="CP274">
        <v>8760</v>
      </c>
      <c r="CQ274">
        <v>8760</v>
      </c>
      <c r="CR274">
        <v>8760</v>
      </c>
      <c r="CS274">
        <v>8760</v>
      </c>
      <c r="CT274">
        <v>8760</v>
      </c>
      <c r="CU274">
        <v>8760</v>
      </c>
      <c r="CV274">
        <v>8760</v>
      </c>
      <c r="CW274">
        <v>8760</v>
      </c>
      <c r="CX274">
        <v>8760</v>
      </c>
      <c r="CY274">
        <v>8760</v>
      </c>
      <c r="CZ274">
        <v>8760</v>
      </c>
      <c r="DA274">
        <v>8760</v>
      </c>
      <c r="DB274">
        <v>8760</v>
      </c>
    </row>
    <row r="275" spans="1:106" x14ac:dyDescent="0.25">
      <c r="A275" s="13" t="s">
        <v>292</v>
      </c>
      <c r="B275" t="s">
        <v>257</v>
      </c>
      <c r="C275" t="s">
        <v>438</v>
      </c>
      <c r="D275" t="s">
        <v>898</v>
      </c>
      <c r="E275" t="s">
        <v>899</v>
      </c>
      <c r="F275">
        <v>102608</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1</v>
      </c>
      <c r="AP275">
        <v>3</v>
      </c>
      <c r="AQ275">
        <v>7</v>
      </c>
      <c r="AR275">
        <v>13</v>
      </c>
      <c r="AS275">
        <v>33</v>
      </c>
      <c r="AT275">
        <v>59</v>
      </c>
      <c r="AU275">
        <v>102</v>
      </c>
      <c r="AV275">
        <v>157</v>
      </c>
      <c r="AW275">
        <v>240</v>
      </c>
      <c r="AX275">
        <v>351</v>
      </c>
      <c r="AY275">
        <v>529</v>
      </c>
      <c r="AZ275">
        <v>698</v>
      </c>
      <c r="BA275">
        <v>885</v>
      </c>
      <c r="BB275">
        <v>1113</v>
      </c>
      <c r="BC275">
        <v>1345</v>
      </c>
      <c r="BD275">
        <v>1645</v>
      </c>
      <c r="BE275">
        <v>2087</v>
      </c>
      <c r="BF275">
        <v>2504</v>
      </c>
      <c r="BG275">
        <v>2957</v>
      </c>
      <c r="BH275">
        <v>3318</v>
      </c>
      <c r="BI275">
        <v>3752</v>
      </c>
      <c r="BJ275">
        <v>4165</v>
      </c>
      <c r="BK275">
        <v>4560</v>
      </c>
      <c r="BL275">
        <v>4863</v>
      </c>
      <c r="BM275">
        <v>5214</v>
      </c>
      <c r="BN275">
        <v>5563</v>
      </c>
      <c r="BO275">
        <v>5895</v>
      </c>
      <c r="BP275">
        <v>6263</v>
      </c>
      <c r="BQ275">
        <v>6609</v>
      </c>
      <c r="BR275">
        <v>6934</v>
      </c>
      <c r="BS275">
        <v>7263</v>
      </c>
      <c r="BT275">
        <v>7589</v>
      </c>
      <c r="BU275">
        <v>7829</v>
      </c>
      <c r="BV275">
        <v>8042</v>
      </c>
      <c r="BW275">
        <v>8201</v>
      </c>
      <c r="BX275">
        <v>8319</v>
      </c>
      <c r="BY275">
        <v>8439</v>
      </c>
      <c r="BZ275">
        <v>8509</v>
      </c>
      <c r="CA275">
        <v>8575</v>
      </c>
      <c r="CB275">
        <v>8639</v>
      </c>
      <c r="CC275">
        <v>8683</v>
      </c>
      <c r="CD275">
        <v>8718</v>
      </c>
      <c r="CE275">
        <v>8742</v>
      </c>
      <c r="CF275">
        <v>8756</v>
      </c>
      <c r="CG275">
        <v>8760</v>
      </c>
      <c r="CH275">
        <v>8760</v>
      </c>
      <c r="CI275">
        <v>8760</v>
      </c>
      <c r="CJ275">
        <v>8760</v>
      </c>
      <c r="CK275">
        <v>8760</v>
      </c>
      <c r="CL275">
        <v>8760</v>
      </c>
      <c r="CM275">
        <v>8760</v>
      </c>
      <c r="CN275">
        <v>8760</v>
      </c>
      <c r="CO275">
        <v>8760</v>
      </c>
      <c r="CP275">
        <v>8760</v>
      </c>
      <c r="CQ275">
        <v>8760</v>
      </c>
      <c r="CR275">
        <v>8760</v>
      </c>
      <c r="CS275">
        <v>8760</v>
      </c>
      <c r="CT275">
        <v>8760</v>
      </c>
      <c r="CU275">
        <v>8760</v>
      </c>
      <c r="CV275">
        <v>8760</v>
      </c>
      <c r="CW275">
        <v>8760</v>
      </c>
      <c r="CX275">
        <v>8760</v>
      </c>
      <c r="CY275">
        <v>8760</v>
      </c>
      <c r="CZ275">
        <v>8760</v>
      </c>
      <c r="DA275">
        <v>8760</v>
      </c>
      <c r="DB275">
        <v>8760</v>
      </c>
    </row>
    <row r="276" spans="1:106" x14ac:dyDescent="0.25">
      <c r="A276" s="13" t="s">
        <v>293</v>
      </c>
      <c r="B276" t="s">
        <v>261</v>
      </c>
      <c r="C276" t="s">
        <v>438</v>
      </c>
      <c r="D276" t="s">
        <v>900</v>
      </c>
      <c r="E276" t="s">
        <v>901</v>
      </c>
      <c r="F276">
        <v>102115</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1</v>
      </c>
      <c r="AT276">
        <v>12</v>
      </c>
      <c r="AU276">
        <v>20</v>
      </c>
      <c r="AV276">
        <v>48</v>
      </c>
      <c r="AW276">
        <v>78</v>
      </c>
      <c r="AX276">
        <v>111</v>
      </c>
      <c r="AY276">
        <v>162</v>
      </c>
      <c r="AZ276">
        <v>247</v>
      </c>
      <c r="BA276">
        <v>360</v>
      </c>
      <c r="BB276">
        <v>604</v>
      </c>
      <c r="BC276">
        <v>918</v>
      </c>
      <c r="BD276">
        <v>1252</v>
      </c>
      <c r="BE276">
        <v>1609</v>
      </c>
      <c r="BF276">
        <v>2005</v>
      </c>
      <c r="BG276">
        <v>2515</v>
      </c>
      <c r="BH276">
        <v>2985</v>
      </c>
      <c r="BI276">
        <v>3394</v>
      </c>
      <c r="BJ276">
        <v>3765</v>
      </c>
      <c r="BK276">
        <v>4170</v>
      </c>
      <c r="BL276">
        <v>4524</v>
      </c>
      <c r="BM276">
        <v>4832</v>
      </c>
      <c r="BN276">
        <v>5139</v>
      </c>
      <c r="BO276">
        <v>5488</v>
      </c>
      <c r="BP276">
        <v>6021</v>
      </c>
      <c r="BQ276">
        <v>6491</v>
      </c>
      <c r="BR276">
        <v>6906</v>
      </c>
      <c r="BS276">
        <v>7316</v>
      </c>
      <c r="BT276">
        <v>7650</v>
      </c>
      <c r="BU276">
        <v>7963</v>
      </c>
      <c r="BV276">
        <v>8196</v>
      </c>
      <c r="BW276">
        <v>8375</v>
      </c>
      <c r="BX276">
        <v>8493</v>
      </c>
      <c r="BY276">
        <v>8582</v>
      </c>
      <c r="BZ276">
        <v>8653</v>
      </c>
      <c r="CA276">
        <v>8686</v>
      </c>
      <c r="CB276">
        <v>8713</v>
      </c>
      <c r="CC276">
        <v>8737</v>
      </c>
      <c r="CD276">
        <v>8752</v>
      </c>
      <c r="CE276">
        <v>8760</v>
      </c>
      <c r="CF276">
        <v>8760</v>
      </c>
      <c r="CG276">
        <v>8760</v>
      </c>
      <c r="CH276">
        <v>8760</v>
      </c>
      <c r="CI276">
        <v>8760</v>
      </c>
      <c r="CJ276">
        <v>8760</v>
      </c>
      <c r="CK276">
        <v>8760</v>
      </c>
      <c r="CL276">
        <v>8760</v>
      </c>
      <c r="CM276">
        <v>8760</v>
      </c>
      <c r="CN276">
        <v>8760</v>
      </c>
      <c r="CO276">
        <v>8760</v>
      </c>
      <c r="CP276">
        <v>8760</v>
      </c>
      <c r="CQ276">
        <v>8760</v>
      </c>
      <c r="CR276">
        <v>8760</v>
      </c>
      <c r="CS276">
        <v>8760</v>
      </c>
      <c r="CT276">
        <v>8760</v>
      </c>
      <c r="CU276">
        <v>8760</v>
      </c>
      <c r="CV276">
        <v>8760</v>
      </c>
      <c r="CW276">
        <v>8760</v>
      </c>
      <c r="CX276">
        <v>8760</v>
      </c>
      <c r="CY276">
        <v>8760</v>
      </c>
      <c r="CZ276">
        <v>8760</v>
      </c>
      <c r="DA276">
        <v>8760</v>
      </c>
      <c r="DB276">
        <v>8760</v>
      </c>
    </row>
    <row r="277" spans="1:106" x14ac:dyDescent="0.25">
      <c r="A277" s="13" t="s">
        <v>294</v>
      </c>
      <c r="B277" t="s">
        <v>285</v>
      </c>
      <c r="C277" t="s">
        <v>438</v>
      </c>
      <c r="D277" t="s">
        <v>902</v>
      </c>
      <c r="E277" t="s">
        <v>903</v>
      </c>
      <c r="F277">
        <v>102247</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10</v>
      </c>
      <c r="AR277">
        <v>19</v>
      </c>
      <c r="AS277">
        <v>30</v>
      </c>
      <c r="AT277">
        <v>38</v>
      </c>
      <c r="AU277">
        <v>50</v>
      </c>
      <c r="AV277">
        <v>82</v>
      </c>
      <c r="AW277">
        <v>137</v>
      </c>
      <c r="AX277">
        <v>201</v>
      </c>
      <c r="AY277">
        <v>319</v>
      </c>
      <c r="AZ277">
        <v>445</v>
      </c>
      <c r="BA277">
        <v>610</v>
      </c>
      <c r="BB277">
        <v>774</v>
      </c>
      <c r="BC277">
        <v>999</v>
      </c>
      <c r="BD277">
        <v>1403</v>
      </c>
      <c r="BE277">
        <v>1970</v>
      </c>
      <c r="BF277">
        <v>2500</v>
      </c>
      <c r="BG277">
        <v>2989</v>
      </c>
      <c r="BH277">
        <v>3384</v>
      </c>
      <c r="BI277">
        <v>3774</v>
      </c>
      <c r="BJ277">
        <v>4147</v>
      </c>
      <c r="BK277">
        <v>4400</v>
      </c>
      <c r="BL277">
        <v>4659</v>
      </c>
      <c r="BM277">
        <v>4915</v>
      </c>
      <c r="BN277">
        <v>5175</v>
      </c>
      <c r="BO277">
        <v>5507</v>
      </c>
      <c r="BP277">
        <v>5906</v>
      </c>
      <c r="BQ277">
        <v>6327</v>
      </c>
      <c r="BR277">
        <v>6719</v>
      </c>
      <c r="BS277">
        <v>7107</v>
      </c>
      <c r="BT277">
        <v>7525</v>
      </c>
      <c r="BU277">
        <v>7907</v>
      </c>
      <c r="BV277">
        <v>8212</v>
      </c>
      <c r="BW277">
        <v>8443</v>
      </c>
      <c r="BX277">
        <v>8590</v>
      </c>
      <c r="BY277">
        <v>8671</v>
      </c>
      <c r="BZ277">
        <v>8713</v>
      </c>
      <c r="CA277">
        <v>8734</v>
      </c>
      <c r="CB277">
        <v>8749</v>
      </c>
      <c r="CC277">
        <v>8754</v>
      </c>
      <c r="CD277">
        <v>8759</v>
      </c>
      <c r="CE277">
        <v>8760</v>
      </c>
      <c r="CF277">
        <v>8760</v>
      </c>
      <c r="CG277">
        <v>8760</v>
      </c>
      <c r="CH277">
        <v>8760</v>
      </c>
      <c r="CI277">
        <v>8760</v>
      </c>
      <c r="CJ277">
        <v>8760</v>
      </c>
      <c r="CK277">
        <v>8760</v>
      </c>
      <c r="CL277">
        <v>8760</v>
      </c>
      <c r="CM277">
        <v>8760</v>
      </c>
      <c r="CN277">
        <v>8760</v>
      </c>
      <c r="CO277">
        <v>8760</v>
      </c>
      <c r="CP277">
        <v>8760</v>
      </c>
      <c r="CQ277">
        <v>8760</v>
      </c>
      <c r="CR277">
        <v>8760</v>
      </c>
      <c r="CS277">
        <v>8760</v>
      </c>
      <c r="CT277">
        <v>8760</v>
      </c>
      <c r="CU277">
        <v>8760</v>
      </c>
      <c r="CV277">
        <v>8760</v>
      </c>
      <c r="CW277">
        <v>8760</v>
      </c>
      <c r="CX277">
        <v>8760</v>
      </c>
      <c r="CY277">
        <v>8760</v>
      </c>
      <c r="CZ277">
        <v>8760</v>
      </c>
      <c r="DA277">
        <v>8760</v>
      </c>
      <c r="DB277">
        <v>8760</v>
      </c>
    </row>
    <row r="278" spans="1:106" x14ac:dyDescent="0.25">
      <c r="A278" s="13" t="s">
        <v>295</v>
      </c>
      <c r="B278" t="s">
        <v>287</v>
      </c>
      <c r="C278" t="s">
        <v>438</v>
      </c>
      <c r="D278" t="s">
        <v>904</v>
      </c>
      <c r="E278" t="s">
        <v>905</v>
      </c>
      <c r="F278">
        <v>102241</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1</v>
      </c>
      <c r="AO278">
        <v>6</v>
      </c>
      <c r="AP278">
        <v>11</v>
      </c>
      <c r="AQ278">
        <v>30</v>
      </c>
      <c r="AR278">
        <v>75</v>
      </c>
      <c r="AS278">
        <v>111</v>
      </c>
      <c r="AT278">
        <v>155</v>
      </c>
      <c r="AU278">
        <v>205</v>
      </c>
      <c r="AV278">
        <v>291</v>
      </c>
      <c r="AW278">
        <v>356</v>
      </c>
      <c r="AX278">
        <v>456</v>
      </c>
      <c r="AY278">
        <v>587</v>
      </c>
      <c r="AZ278">
        <v>791</v>
      </c>
      <c r="BA278">
        <v>1036</v>
      </c>
      <c r="BB278">
        <v>1299</v>
      </c>
      <c r="BC278">
        <v>1641</v>
      </c>
      <c r="BD278">
        <v>1989</v>
      </c>
      <c r="BE278">
        <v>2404</v>
      </c>
      <c r="BF278">
        <v>2755</v>
      </c>
      <c r="BG278">
        <v>3095</v>
      </c>
      <c r="BH278">
        <v>3474</v>
      </c>
      <c r="BI278">
        <v>3790</v>
      </c>
      <c r="BJ278">
        <v>4156</v>
      </c>
      <c r="BK278">
        <v>4531</v>
      </c>
      <c r="BL278">
        <v>4847</v>
      </c>
      <c r="BM278">
        <v>5206</v>
      </c>
      <c r="BN278">
        <v>5596</v>
      </c>
      <c r="BO278">
        <v>6001</v>
      </c>
      <c r="BP278">
        <v>6361</v>
      </c>
      <c r="BQ278">
        <v>6713</v>
      </c>
      <c r="BR278">
        <v>7103</v>
      </c>
      <c r="BS278">
        <v>7443</v>
      </c>
      <c r="BT278">
        <v>7720</v>
      </c>
      <c r="BU278">
        <v>7938</v>
      </c>
      <c r="BV278">
        <v>8123</v>
      </c>
      <c r="BW278">
        <v>8269</v>
      </c>
      <c r="BX278">
        <v>8387</v>
      </c>
      <c r="BY278">
        <v>8480</v>
      </c>
      <c r="BZ278">
        <v>8547</v>
      </c>
      <c r="CA278">
        <v>8617</v>
      </c>
      <c r="CB278">
        <v>8656</v>
      </c>
      <c r="CC278">
        <v>8684</v>
      </c>
      <c r="CD278">
        <v>8709</v>
      </c>
      <c r="CE278">
        <v>8736</v>
      </c>
      <c r="CF278">
        <v>8749</v>
      </c>
      <c r="CG278">
        <v>8758</v>
      </c>
      <c r="CH278">
        <v>8760</v>
      </c>
      <c r="CI278">
        <v>8760</v>
      </c>
      <c r="CJ278">
        <v>8760</v>
      </c>
      <c r="CK278">
        <v>8760</v>
      </c>
      <c r="CL278">
        <v>8760</v>
      </c>
      <c r="CM278">
        <v>8760</v>
      </c>
      <c r="CN278">
        <v>8760</v>
      </c>
      <c r="CO278">
        <v>8760</v>
      </c>
      <c r="CP278">
        <v>8760</v>
      </c>
      <c r="CQ278">
        <v>8760</v>
      </c>
      <c r="CR278">
        <v>8760</v>
      </c>
      <c r="CS278">
        <v>8760</v>
      </c>
      <c r="CT278">
        <v>8760</v>
      </c>
      <c r="CU278">
        <v>8760</v>
      </c>
      <c r="CV278">
        <v>8760</v>
      </c>
      <c r="CW278">
        <v>8760</v>
      </c>
      <c r="CX278">
        <v>8760</v>
      </c>
      <c r="CY278">
        <v>8760</v>
      </c>
      <c r="CZ278">
        <v>8760</v>
      </c>
      <c r="DA278">
        <v>8760</v>
      </c>
      <c r="DB278">
        <v>8760</v>
      </c>
    </row>
    <row r="279" spans="1:106" x14ac:dyDescent="0.25">
      <c r="A279" s="13" t="s">
        <v>296</v>
      </c>
      <c r="B279" t="s">
        <v>288</v>
      </c>
      <c r="C279" t="s">
        <v>438</v>
      </c>
      <c r="D279" t="s">
        <v>906</v>
      </c>
      <c r="E279" t="s">
        <v>907</v>
      </c>
      <c r="F279">
        <v>102251</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6</v>
      </c>
      <c r="AP279">
        <v>14</v>
      </c>
      <c r="AQ279">
        <v>29</v>
      </c>
      <c r="AR279">
        <v>73</v>
      </c>
      <c r="AS279">
        <v>120</v>
      </c>
      <c r="AT279">
        <v>160</v>
      </c>
      <c r="AU279">
        <v>195</v>
      </c>
      <c r="AV279">
        <v>242</v>
      </c>
      <c r="AW279">
        <v>304</v>
      </c>
      <c r="AX279">
        <v>378</v>
      </c>
      <c r="AY279">
        <v>499</v>
      </c>
      <c r="AZ279">
        <v>664</v>
      </c>
      <c r="BA279">
        <v>892</v>
      </c>
      <c r="BB279">
        <v>1185</v>
      </c>
      <c r="BC279">
        <v>1497</v>
      </c>
      <c r="BD279">
        <v>1833</v>
      </c>
      <c r="BE279">
        <v>2212</v>
      </c>
      <c r="BF279">
        <v>2576</v>
      </c>
      <c r="BG279">
        <v>2969</v>
      </c>
      <c r="BH279">
        <v>3330</v>
      </c>
      <c r="BI279">
        <v>3693</v>
      </c>
      <c r="BJ279">
        <v>4110</v>
      </c>
      <c r="BK279">
        <v>4562</v>
      </c>
      <c r="BL279">
        <v>4935</v>
      </c>
      <c r="BM279">
        <v>5280</v>
      </c>
      <c r="BN279">
        <v>5707</v>
      </c>
      <c r="BO279">
        <v>6065</v>
      </c>
      <c r="BP279">
        <v>6425</v>
      </c>
      <c r="BQ279">
        <v>6771</v>
      </c>
      <c r="BR279">
        <v>7093</v>
      </c>
      <c r="BS279">
        <v>7431</v>
      </c>
      <c r="BT279">
        <v>7724</v>
      </c>
      <c r="BU279">
        <v>7955</v>
      </c>
      <c r="BV279">
        <v>8160</v>
      </c>
      <c r="BW279">
        <v>8313</v>
      </c>
      <c r="BX279">
        <v>8422</v>
      </c>
      <c r="BY279">
        <v>8504</v>
      </c>
      <c r="BZ279">
        <v>8561</v>
      </c>
      <c r="CA279">
        <v>8603</v>
      </c>
      <c r="CB279">
        <v>8655</v>
      </c>
      <c r="CC279">
        <v>8694</v>
      </c>
      <c r="CD279">
        <v>8726</v>
      </c>
      <c r="CE279">
        <v>8746</v>
      </c>
      <c r="CF279">
        <v>8756</v>
      </c>
      <c r="CG279">
        <v>8760</v>
      </c>
      <c r="CH279">
        <v>8760</v>
      </c>
      <c r="CI279">
        <v>8760</v>
      </c>
      <c r="CJ279">
        <v>8760</v>
      </c>
      <c r="CK279">
        <v>8760</v>
      </c>
      <c r="CL279">
        <v>8760</v>
      </c>
      <c r="CM279">
        <v>8760</v>
      </c>
      <c r="CN279">
        <v>8760</v>
      </c>
      <c r="CO279">
        <v>8760</v>
      </c>
      <c r="CP279">
        <v>8760</v>
      </c>
      <c r="CQ279">
        <v>8760</v>
      </c>
      <c r="CR279">
        <v>8760</v>
      </c>
      <c r="CS279">
        <v>8760</v>
      </c>
      <c r="CT279">
        <v>8760</v>
      </c>
      <c r="CU279">
        <v>8760</v>
      </c>
      <c r="CV279">
        <v>8760</v>
      </c>
      <c r="CW279">
        <v>8760</v>
      </c>
      <c r="CX279">
        <v>8760</v>
      </c>
      <c r="CY279">
        <v>8760</v>
      </c>
      <c r="CZ279">
        <v>8760</v>
      </c>
      <c r="DA279">
        <v>8760</v>
      </c>
      <c r="DB279">
        <v>8760</v>
      </c>
    </row>
    <row r="280" spans="1:106" x14ac:dyDescent="0.25">
      <c r="A280" s="13" t="s">
        <v>297</v>
      </c>
      <c r="B280" t="s">
        <v>289</v>
      </c>
      <c r="C280" t="s">
        <v>438</v>
      </c>
      <c r="D280" t="s">
        <v>908</v>
      </c>
      <c r="E280" t="s">
        <v>909</v>
      </c>
      <c r="F280">
        <v>102619</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2</v>
      </c>
      <c r="AK280">
        <v>9</v>
      </c>
      <c r="AL280">
        <v>19</v>
      </c>
      <c r="AM280">
        <v>32</v>
      </c>
      <c r="AN280">
        <v>46</v>
      </c>
      <c r="AO280">
        <v>69</v>
      </c>
      <c r="AP280">
        <v>109</v>
      </c>
      <c r="AQ280">
        <v>165</v>
      </c>
      <c r="AR280">
        <v>227</v>
      </c>
      <c r="AS280">
        <v>304</v>
      </c>
      <c r="AT280">
        <v>396</v>
      </c>
      <c r="AU280">
        <v>536</v>
      </c>
      <c r="AV280">
        <v>668</v>
      </c>
      <c r="AW280">
        <v>789</v>
      </c>
      <c r="AX280">
        <v>903</v>
      </c>
      <c r="AY280">
        <v>1033</v>
      </c>
      <c r="AZ280">
        <v>1241</v>
      </c>
      <c r="BA280">
        <v>1489</v>
      </c>
      <c r="BB280">
        <v>1765</v>
      </c>
      <c r="BC280">
        <v>2050</v>
      </c>
      <c r="BD280">
        <v>2355</v>
      </c>
      <c r="BE280">
        <v>2781</v>
      </c>
      <c r="BF280">
        <v>3164</v>
      </c>
      <c r="BG280">
        <v>3573</v>
      </c>
      <c r="BH280">
        <v>3963</v>
      </c>
      <c r="BI280">
        <v>4307</v>
      </c>
      <c r="BJ280">
        <v>4601</v>
      </c>
      <c r="BK280">
        <v>4888</v>
      </c>
      <c r="BL280">
        <v>5189</v>
      </c>
      <c r="BM280">
        <v>5534</v>
      </c>
      <c r="BN280">
        <v>5851</v>
      </c>
      <c r="BO280">
        <v>6129</v>
      </c>
      <c r="BP280">
        <v>6408</v>
      </c>
      <c r="BQ280">
        <v>6732</v>
      </c>
      <c r="BR280">
        <v>7038</v>
      </c>
      <c r="BS280">
        <v>7323</v>
      </c>
      <c r="BT280">
        <v>7568</v>
      </c>
      <c r="BU280">
        <v>7829</v>
      </c>
      <c r="BV280">
        <v>8025</v>
      </c>
      <c r="BW280">
        <v>8193</v>
      </c>
      <c r="BX280">
        <v>8320</v>
      </c>
      <c r="BY280">
        <v>8447</v>
      </c>
      <c r="BZ280">
        <v>8530</v>
      </c>
      <c r="CA280">
        <v>8597</v>
      </c>
      <c r="CB280">
        <v>8645</v>
      </c>
      <c r="CC280">
        <v>8696</v>
      </c>
      <c r="CD280">
        <v>8724</v>
      </c>
      <c r="CE280">
        <v>8749</v>
      </c>
      <c r="CF280">
        <v>8753</v>
      </c>
      <c r="CG280">
        <v>8756</v>
      </c>
      <c r="CH280">
        <v>8760</v>
      </c>
      <c r="CI280">
        <v>8760</v>
      </c>
      <c r="CJ280">
        <v>8760</v>
      </c>
      <c r="CK280">
        <v>8760</v>
      </c>
      <c r="CL280">
        <v>8760</v>
      </c>
      <c r="CM280">
        <v>8760</v>
      </c>
      <c r="CN280">
        <v>8760</v>
      </c>
      <c r="CO280">
        <v>8760</v>
      </c>
      <c r="CP280">
        <v>8760</v>
      </c>
      <c r="CQ280">
        <v>8760</v>
      </c>
      <c r="CR280">
        <v>8760</v>
      </c>
      <c r="CS280">
        <v>8760</v>
      </c>
      <c r="CT280">
        <v>8760</v>
      </c>
      <c r="CU280">
        <v>8760</v>
      </c>
      <c r="CV280">
        <v>8760</v>
      </c>
      <c r="CW280">
        <v>8760</v>
      </c>
      <c r="CX280">
        <v>8760</v>
      </c>
      <c r="CY280">
        <v>8760</v>
      </c>
      <c r="CZ280">
        <v>8760</v>
      </c>
      <c r="DA280">
        <v>8760</v>
      </c>
      <c r="DB280">
        <v>8760</v>
      </c>
    </row>
    <row r="281" spans="1:106" x14ac:dyDescent="0.25">
      <c r="A281" s="13" t="s">
        <v>298</v>
      </c>
      <c r="B281" t="s">
        <v>290</v>
      </c>
      <c r="C281" t="s">
        <v>438</v>
      </c>
      <c r="D281" t="s">
        <v>910</v>
      </c>
      <c r="E281" t="s">
        <v>911</v>
      </c>
      <c r="F281">
        <v>102822</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2</v>
      </c>
      <c r="AG281">
        <v>4</v>
      </c>
      <c r="AH281">
        <v>11</v>
      </c>
      <c r="AI281">
        <v>22</v>
      </c>
      <c r="AJ281">
        <v>37</v>
      </c>
      <c r="AK281">
        <v>64</v>
      </c>
      <c r="AL281">
        <v>87</v>
      </c>
      <c r="AM281">
        <v>116</v>
      </c>
      <c r="AN281">
        <v>167</v>
      </c>
      <c r="AO281">
        <v>237</v>
      </c>
      <c r="AP281">
        <v>303</v>
      </c>
      <c r="AQ281">
        <v>373</v>
      </c>
      <c r="AR281">
        <v>482</v>
      </c>
      <c r="AS281">
        <v>593</v>
      </c>
      <c r="AT281">
        <v>730</v>
      </c>
      <c r="AU281">
        <v>855</v>
      </c>
      <c r="AV281">
        <v>988</v>
      </c>
      <c r="AW281">
        <v>1118</v>
      </c>
      <c r="AX281">
        <v>1280</v>
      </c>
      <c r="AY281">
        <v>1438</v>
      </c>
      <c r="AZ281">
        <v>1648</v>
      </c>
      <c r="BA281">
        <v>1818</v>
      </c>
      <c r="BB281">
        <v>2118</v>
      </c>
      <c r="BC281">
        <v>2428</v>
      </c>
      <c r="BD281">
        <v>2873</v>
      </c>
      <c r="BE281">
        <v>3330</v>
      </c>
      <c r="BF281">
        <v>3721</v>
      </c>
      <c r="BG281">
        <v>4099</v>
      </c>
      <c r="BH281">
        <v>4448</v>
      </c>
      <c r="BI281">
        <v>4740</v>
      </c>
      <c r="BJ281">
        <v>5047</v>
      </c>
      <c r="BK281">
        <v>5360</v>
      </c>
      <c r="BL281">
        <v>5641</v>
      </c>
      <c r="BM281">
        <v>5923</v>
      </c>
      <c r="BN281">
        <v>6210</v>
      </c>
      <c r="BO281">
        <v>6537</v>
      </c>
      <c r="BP281">
        <v>6836</v>
      </c>
      <c r="BQ281">
        <v>7107</v>
      </c>
      <c r="BR281">
        <v>7373</v>
      </c>
      <c r="BS281">
        <v>7625</v>
      </c>
      <c r="BT281">
        <v>7839</v>
      </c>
      <c r="BU281">
        <v>8034</v>
      </c>
      <c r="BV281">
        <v>8212</v>
      </c>
      <c r="BW281">
        <v>8355</v>
      </c>
      <c r="BX281">
        <v>8469</v>
      </c>
      <c r="BY281">
        <v>8559</v>
      </c>
      <c r="BZ281">
        <v>8609</v>
      </c>
      <c r="CA281">
        <v>8663</v>
      </c>
      <c r="CB281">
        <v>8688</v>
      </c>
      <c r="CC281">
        <v>8709</v>
      </c>
      <c r="CD281">
        <v>8730</v>
      </c>
      <c r="CE281">
        <v>8742</v>
      </c>
      <c r="CF281">
        <v>8754</v>
      </c>
      <c r="CG281">
        <v>8757</v>
      </c>
      <c r="CH281">
        <v>8760</v>
      </c>
      <c r="CI281">
        <v>8760</v>
      </c>
      <c r="CJ281">
        <v>8760</v>
      </c>
      <c r="CK281">
        <v>8760</v>
      </c>
      <c r="CL281">
        <v>8760</v>
      </c>
      <c r="CM281">
        <v>8760</v>
      </c>
      <c r="CN281">
        <v>8760</v>
      </c>
      <c r="CO281">
        <v>8760</v>
      </c>
      <c r="CP281">
        <v>8760</v>
      </c>
      <c r="CQ281">
        <v>8760</v>
      </c>
      <c r="CR281">
        <v>8760</v>
      </c>
      <c r="CS281">
        <v>8760</v>
      </c>
      <c r="CT281">
        <v>8760</v>
      </c>
      <c r="CU281">
        <v>8760</v>
      </c>
      <c r="CV281">
        <v>8760</v>
      </c>
      <c r="CW281">
        <v>8760</v>
      </c>
      <c r="CX281">
        <v>8760</v>
      </c>
      <c r="CY281">
        <v>8760</v>
      </c>
      <c r="CZ281">
        <v>8760</v>
      </c>
      <c r="DA281">
        <v>8760</v>
      </c>
      <c r="DB281">
        <v>8760</v>
      </c>
    </row>
    <row r="282" spans="1:106" x14ac:dyDescent="0.25">
      <c r="A282" s="13" t="s">
        <v>299</v>
      </c>
      <c r="B282" t="s">
        <v>291</v>
      </c>
      <c r="C282" t="s">
        <v>438</v>
      </c>
      <c r="D282" t="s">
        <v>912</v>
      </c>
      <c r="E282" t="s">
        <v>913</v>
      </c>
      <c r="F282">
        <v>102305</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1</v>
      </c>
      <c r="AL282">
        <v>4</v>
      </c>
      <c r="AM282">
        <v>6</v>
      </c>
      <c r="AN282">
        <v>8</v>
      </c>
      <c r="AO282">
        <v>9</v>
      </c>
      <c r="AP282">
        <v>17</v>
      </c>
      <c r="AQ282">
        <v>41</v>
      </c>
      <c r="AR282">
        <v>63</v>
      </c>
      <c r="AS282">
        <v>85</v>
      </c>
      <c r="AT282">
        <v>116</v>
      </c>
      <c r="AU282">
        <v>159</v>
      </c>
      <c r="AV282">
        <v>226</v>
      </c>
      <c r="AW282">
        <v>301</v>
      </c>
      <c r="AX282">
        <v>396</v>
      </c>
      <c r="AY282">
        <v>523</v>
      </c>
      <c r="AZ282">
        <v>644</v>
      </c>
      <c r="BA282">
        <v>796</v>
      </c>
      <c r="BB282">
        <v>981</v>
      </c>
      <c r="BC282">
        <v>1221</v>
      </c>
      <c r="BD282">
        <v>1578</v>
      </c>
      <c r="BE282">
        <v>2065</v>
      </c>
      <c r="BF282">
        <v>2458</v>
      </c>
      <c r="BG282">
        <v>2912</v>
      </c>
      <c r="BH282">
        <v>3352</v>
      </c>
      <c r="BI282">
        <v>3694</v>
      </c>
      <c r="BJ282">
        <v>4051</v>
      </c>
      <c r="BK282">
        <v>4446</v>
      </c>
      <c r="BL282">
        <v>4822</v>
      </c>
      <c r="BM282">
        <v>5129</v>
      </c>
      <c r="BN282">
        <v>5443</v>
      </c>
      <c r="BO282">
        <v>5793</v>
      </c>
      <c r="BP282">
        <v>6203</v>
      </c>
      <c r="BQ282">
        <v>6590</v>
      </c>
      <c r="BR282">
        <v>6900</v>
      </c>
      <c r="BS282">
        <v>7195</v>
      </c>
      <c r="BT282">
        <v>7514</v>
      </c>
      <c r="BU282">
        <v>7795</v>
      </c>
      <c r="BV282">
        <v>8036</v>
      </c>
      <c r="BW282">
        <v>8234</v>
      </c>
      <c r="BX282">
        <v>8373</v>
      </c>
      <c r="BY282">
        <v>8482</v>
      </c>
      <c r="BZ282">
        <v>8577</v>
      </c>
      <c r="CA282">
        <v>8652</v>
      </c>
      <c r="CB282">
        <v>8702</v>
      </c>
      <c r="CC282">
        <v>8730</v>
      </c>
      <c r="CD282">
        <v>8744</v>
      </c>
      <c r="CE282">
        <v>8751</v>
      </c>
      <c r="CF282">
        <v>8754</v>
      </c>
      <c r="CG282">
        <v>8757</v>
      </c>
      <c r="CH282">
        <v>8760</v>
      </c>
      <c r="CI282">
        <v>8760</v>
      </c>
      <c r="CJ282">
        <v>8760</v>
      </c>
      <c r="CK282">
        <v>8760</v>
      </c>
      <c r="CL282">
        <v>8760</v>
      </c>
      <c r="CM282">
        <v>8760</v>
      </c>
      <c r="CN282">
        <v>8760</v>
      </c>
      <c r="CO282">
        <v>8760</v>
      </c>
      <c r="CP282">
        <v>8760</v>
      </c>
      <c r="CQ282">
        <v>8760</v>
      </c>
      <c r="CR282">
        <v>8760</v>
      </c>
      <c r="CS282">
        <v>8760</v>
      </c>
      <c r="CT282">
        <v>8760</v>
      </c>
      <c r="CU282">
        <v>8760</v>
      </c>
      <c r="CV282">
        <v>8760</v>
      </c>
      <c r="CW282">
        <v>8760</v>
      </c>
      <c r="CX282">
        <v>8760</v>
      </c>
      <c r="CY282">
        <v>8760</v>
      </c>
      <c r="CZ282">
        <v>8760</v>
      </c>
      <c r="DA282">
        <v>8760</v>
      </c>
      <c r="DB282">
        <v>8760</v>
      </c>
    </row>
    <row r="283" spans="1:106" x14ac:dyDescent="0.25">
      <c r="A283" s="13" t="s">
        <v>300</v>
      </c>
      <c r="B283" t="s">
        <v>292</v>
      </c>
      <c r="C283" t="s">
        <v>438</v>
      </c>
      <c r="D283" t="s">
        <v>914</v>
      </c>
      <c r="E283" t="s">
        <v>915</v>
      </c>
      <c r="F283">
        <v>102237</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1</v>
      </c>
      <c r="AU283">
        <v>9</v>
      </c>
      <c r="AV283">
        <v>11</v>
      </c>
      <c r="AW283">
        <v>17</v>
      </c>
      <c r="AX283">
        <v>36</v>
      </c>
      <c r="AY283">
        <v>78</v>
      </c>
      <c r="AZ283">
        <v>139</v>
      </c>
      <c r="BA283">
        <v>230</v>
      </c>
      <c r="BB283">
        <v>340</v>
      </c>
      <c r="BC283">
        <v>532</v>
      </c>
      <c r="BD283">
        <v>860</v>
      </c>
      <c r="BE283">
        <v>1227</v>
      </c>
      <c r="BF283">
        <v>1679</v>
      </c>
      <c r="BG283">
        <v>2260</v>
      </c>
      <c r="BH283">
        <v>2854</v>
      </c>
      <c r="BI283">
        <v>3410</v>
      </c>
      <c r="BJ283">
        <v>3902</v>
      </c>
      <c r="BK283">
        <v>4299</v>
      </c>
      <c r="BL283">
        <v>4598</v>
      </c>
      <c r="BM283">
        <v>4874</v>
      </c>
      <c r="BN283">
        <v>5170</v>
      </c>
      <c r="BO283">
        <v>5571</v>
      </c>
      <c r="BP283">
        <v>5966</v>
      </c>
      <c r="BQ283">
        <v>6379</v>
      </c>
      <c r="BR283">
        <v>6801</v>
      </c>
      <c r="BS283">
        <v>7269</v>
      </c>
      <c r="BT283">
        <v>7681</v>
      </c>
      <c r="BU283">
        <v>7987</v>
      </c>
      <c r="BV283">
        <v>8221</v>
      </c>
      <c r="BW283">
        <v>8392</v>
      </c>
      <c r="BX283">
        <v>8529</v>
      </c>
      <c r="BY283">
        <v>8630</v>
      </c>
      <c r="BZ283">
        <v>8688</v>
      </c>
      <c r="CA283">
        <v>8721</v>
      </c>
      <c r="CB283">
        <v>8734</v>
      </c>
      <c r="CC283">
        <v>8744</v>
      </c>
      <c r="CD283">
        <v>8753</v>
      </c>
      <c r="CE283">
        <v>8756</v>
      </c>
      <c r="CF283">
        <v>8760</v>
      </c>
      <c r="CG283">
        <v>8760</v>
      </c>
      <c r="CH283">
        <v>8760</v>
      </c>
      <c r="CI283">
        <v>8760</v>
      </c>
      <c r="CJ283">
        <v>8760</v>
      </c>
      <c r="CK283">
        <v>8760</v>
      </c>
      <c r="CL283">
        <v>8760</v>
      </c>
      <c r="CM283">
        <v>8760</v>
      </c>
      <c r="CN283">
        <v>8760</v>
      </c>
      <c r="CO283">
        <v>8760</v>
      </c>
      <c r="CP283">
        <v>8760</v>
      </c>
      <c r="CQ283">
        <v>8760</v>
      </c>
      <c r="CR283">
        <v>8760</v>
      </c>
      <c r="CS283">
        <v>8760</v>
      </c>
      <c r="CT283">
        <v>8760</v>
      </c>
      <c r="CU283">
        <v>8760</v>
      </c>
      <c r="CV283">
        <v>8760</v>
      </c>
      <c r="CW283">
        <v>8760</v>
      </c>
      <c r="CX283">
        <v>8760</v>
      </c>
      <c r="CY283">
        <v>8760</v>
      </c>
      <c r="CZ283">
        <v>8760</v>
      </c>
      <c r="DA283">
        <v>8760</v>
      </c>
      <c r="DB283">
        <v>8760</v>
      </c>
    </row>
    <row r="284" spans="1:106" x14ac:dyDescent="0.25">
      <c r="A284" s="13" t="s">
        <v>301</v>
      </c>
      <c r="B284" t="s">
        <v>293</v>
      </c>
      <c r="C284" t="s">
        <v>438</v>
      </c>
      <c r="D284" t="s">
        <v>916</v>
      </c>
      <c r="E284" t="s">
        <v>917</v>
      </c>
      <c r="F284">
        <v>102123</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1</v>
      </c>
      <c r="AQ284">
        <v>4</v>
      </c>
      <c r="AR284">
        <v>10</v>
      </c>
      <c r="AS284">
        <v>12</v>
      </c>
      <c r="AT284">
        <v>24</v>
      </c>
      <c r="AU284">
        <v>40</v>
      </c>
      <c r="AV284">
        <v>54</v>
      </c>
      <c r="AW284">
        <v>78</v>
      </c>
      <c r="AX284">
        <v>100</v>
      </c>
      <c r="AY284">
        <v>163</v>
      </c>
      <c r="AZ284">
        <v>236</v>
      </c>
      <c r="BA284">
        <v>348</v>
      </c>
      <c r="BB284">
        <v>517</v>
      </c>
      <c r="BC284">
        <v>780</v>
      </c>
      <c r="BD284">
        <v>1103</v>
      </c>
      <c r="BE284">
        <v>1473</v>
      </c>
      <c r="BF284">
        <v>1918</v>
      </c>
      <c r="BG284">
        <v>2348</v>
      </c>
      <c r="BH284">
        <v>2857</v>
      </c>
      <c r="BI284">
        <v>3279</v>
      </c>
      <c r="BJ284">
        <v>3668</v>
      </c>
      <c r="BK284">
        <v>4047</v>
      </c>
      <c r="BL284">
        <v>4390</v>
      </c>
      <c r="BM284">
        <v>4752</v>
      </c>
      <c r="BN284">
        <v>5174</v>
      </c>
      <c r="BO284">
        <v>5544</v>
      </c>
      <c r="BP284">
        <v>5938</v>
      </c>
      <c r="BQ284">
        <v>6340</v>
      </c>
      <c r="BR284">
        <v>6775</v>
      </c>
      <c r="BS284">
        <v>7195</v>
      </c>
      <c r="BT284">
        <v>7559</v>
      </c>
      <c r="BU284">
        <v>7842</v>
      </c>
      <c r="BV284">
        <v>8094</v>
      </c>
      <c r="BW284">
        <v>8282</v>
      </c>
      <c r="BX284">
        <v>8424</v>
      </c>
      <c r="BY284">
        <v>8533</v>
      </c>
      <c r="BZ284">
        <v>8612</v>
      </c>
      <c r="CA284">
        <v>8668</v>
      </c>
      <c r="CB284">
        <v>8702</v>
      </c>
      <c r="CC284">
        <v>8716</v>
      </c>
      <c r="CD284">
        <v>8725</v>
      </c>
      <c r="CE284">
        <v>8737</v>
      </c>
      <c r="CF284">
        <v>8745</v>
      </c>
      <c r="CG284">
        <v>8751</v>
      </c>
      <c r="CH284">
        <v>8756</v>
      </c>
      <c r="CI284">
        <v>8760</v>
      </c>
      <c r="CJ284">
        <v>8760</v>
      </c>
      <c r="CK284">
        <v>8760</v>
      </c>
      <c r="CL284">
        <v>8760</v>
      </c>
      <c r="CM284">
        <v>8760</v>
      </c>
      <c r="CN284">
        <v>8760</v>
      </c>
      <c r="CO284">
        <v>8760</v>
      </c>
      <c r="CP284">
        <v>8760</v>
      </c>
      <c r="CQ284">
        <v>8760</v>
      </c>
      <c r="CR284">
        <v>8760</v>
      </c>
      <c r="CS284">
        <v>8760</v>
      </c>
      <c r="CT284">
        <v>8760</v>
      </c>
      <c r="CU284">
        <v>8760</v>
      </c>
      <c r="CV284">
        <v>8760</v>
      </c>
      <c r="CW284">
        <v>8760</v>
      </c>
      <c r="CX284">
        <v>8760</v>
      </c>
      <c r="CY284">
        <v>8760</v>
      </c>
      <c r="CZ284">
        <v>8760</v>
      </c>
      <c r="DA284">
        <v>8760</v>
      </c>
      <c r="DB284">
        <v>8760</v>
      </c>
    </row>
    <row r="285" spans="1:106" x14ac:dyDescent="0.25">
      <c r="A285" s="13" t="s">
        <v>302</v>
      </c>
      <c r="B285" t="s">
        <v>296</v>
      </c>
      <c r="C285" t="s">
        <v>438</v>
      </c>
      <c r="D285" t="s">
        <v>918</v>
      </c>
      <c r="E285" t="s">
        <v>919</v>
      </c>
      <c r="F285">
        <v>102505</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5</v>
      </c>
      <c r="AG285">
        <v>13</v>
      </c>
      <c r="AH285">
        <v>23</v>
      </c>
      <c r="AI285">
        <v>35</v>
      </c>
      <c r="AJ285">
        <v>48</v>
      </c>
      <c r="AK285">
        <v>61</v>
      </c>
      <c r="AL285">
        <v>77</v>
      </c>
      <c r="AM285">
        <v>112</v>
      </c>
      <c r="AN285">
        <v>151</v>
      </c>
      <c r="AO285">
        <v>205</v>
      </c>
      <c r="AP285">
        <v>249</v>
      </c>
      <c r="AQ285">
        <v>289</v>
      </c>
      <c r="AR285">
        <v>360</v>
      </c>
      <c r="AS285">
        <v>438</v>
      </c>
      <c r="AT285">
        <v>534</v>
      </c>
      <c r="AU285">
        <v>626</v>
      </c>
      <c r="AV285">
        <v>747</v>
      </c>
      <c r="AW285">
        <v>900</v>
      </c>
      <c r="AX285">
        <v>1121</v>
      </c>
      <c r="AY285">
        <v>1353</v>
      </c>
      <c r="AZ285">
        <v>1610</v>
      </c>
      <c r="BA285">
        <v>1899</v>
      </c>
      <c r="BB285">
        <v>2176</v>
      </c>
      <c r="BC285">
        <v>2486</v>
      </c>
      <c r="BD285">
        <v>2853</v>
      </c>
      <c r="BE285">
        <v>3313</v>
      </c>
      <c r="BF285">
        <v>3668</v>
      </c>
      <c r="BG285">
        <v>3966</v>
      </c>
      <c r="BH285">
        <v>4225</v>
      </c>
      <c r="BI285">
        <v>4503</v>
      </c>
      <c r="BJ285">
        <v>4743</v>
      </c>
      <c r="BK285">
        <v>5041</v>
      </c>
      <c r="BL285">
        <v>5357</v>
      </c>
      <c r="BM285">
        <v>5628</v>
      </c>
      <c r="BN285">
        <v>5911</v>
      </c>
      <c r="BO285">
        <v>6217</v>
      </c>
      <c r="BP285">
        <v>6538</v>
      </c>
      <c r="BQ285">
        <v>6847</v>
      </c>
      <c r="BR285">
        <v>7148</v>
      </c>
      <c r="BS285">
        <v>7433</v>
      </c>
      <c r="BT285">
        <v>7659</v>
      </c>
      <c r="BU285">
        <v>7865</v>
      </c>
      <c r="BV285">
        <v>8047</v>
      </c>
      <c r="BW285">
        <v>8218</v>
      </c>
      <c r="BX285">
        <v>8342</v>
      </c>
      <c r="BY285">
        <v>8421</v>
      </c>
      <c r="BZ285">
        <v>8485</v>
      </c>
      <c r="CA285">
        <v>8554</v>
      </c>
      <c r="CB285">
        <v>8602</v>
      </c>
      <c r="CC285">
        <v>8639</v>
      </c>
      <c r="CD285">
        <v>8685</v>
      </c>
      <c r="CE285">
        <v>8721</v>
      </c>
      <c r="CF285">
        <v>8745</v>
      </c>
      <c r="CG285">
        <v>8758</v>
      </c>
      <c r="CH285">
        <v>8760</v>
      </c>
      <c r="CI285">
        <v>8760</v>
      </c>
      <c r="CJ285">
        <v>8760</v>
      </c>
      <c r="CK285">
        <v>8760</v>
      </c>
      <c r="CL285">
        <v>8760</v>
      </c>
      <c r="CM285">
        <v>8760</v>
      </c>
      <c r="CN285">
        <v>8760</v>
      </c>
      <c r="CO285">
        <v>8760</v>
      </c>
      <c r="CP285">
        <v>8760</v>
      </c>
      <c r="CQ285">
        <v>8760</v>
      </c>
      <c r="CR285">
        <v>8760</v>
      </c>
      <c r="CS285">
        <v>8760</v>
      </c>
      <c r="CT285">
        <v>8760</v>
      </c>
      <c r="CU285">
        <v>8760</v>
      </c>
      <c r="CV285">
        <v>8760</v>
      </c>
      <c r="CW285">
        <v>8760</v>
      </c>
      <c r="CX285">
        <v>8760</v>
      </c>
      <c r="CY285">
        <v>8760</v>
      </c>
      <c r="CZ285">
        <v>8760</v>
      </c>
      <c r="DA285">
        <v>8760</v>
      </c>
      <c r="DB285">
        <v>8760</v>
      </c>
    </row>
    <row r="286" spans="1:106" x14ac:dyDescent="0.25">
      <c r="A286" s="13" t="s">
        <v>303</v>
      </c>
      <c r="B286" t="s">
        <v>417</v>
      </c>
    </row>
    <row r="287" spans="1:106" x14ac:dyDescent="0.25">
      <c r="A287" s="13" t="s">
        <v>304</v>
      </c>
      <c r="B287" t="s">
        <v>295</v>
      </c>
      <c r="C287" t="s">
        <v>438</v>
      </c>
      <c r="D287" t="s">
        <v>920</v>
      </c>
      <c r="E287" t="s">
        <v>921</v>
      </c>
      <c r="F287">
        <v>102306</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5</v>
      </c>
      <c r="AP287">
        <v>23</v>
      </c>
      <c r="AQ287">
        <v>47</v>
      </c>
      <c r="AR287">
        <v>82</v>
      </c>
      <c r="AS287">
        <v>118</v>
      </c>
      <c r="AT287">
        <v>149</v>
      </c>
      <c r="AU287">
        <v>188</v>
      </c>
      <c r="AV287">
        <v>236</v>
      </c>
      <c r="AW287">
        <v>297</v>
      </c>
      <c r="AX287">
        <v>367</v>
      </c>
      <c r="AY287">
        <v>445</v>
      </c>
      <c r="AZ287">
        <v>549</v>
      </c>
      <c r="BA287">
        <v>692</v>
      </c>
      <c r="BB287">
        <v>852</v>
      </c>
      <c r="BC287">
        <v>1044</v>
      </c>
      <c r="BD287">
        <v>1343</v>
      </c>
      <c r="BE287">
        <v>1680</v>
      </c>
      <c r="BF287">
        <v>2149</v>
      </c>
      <c r="BG287">
        <v>2620</v>
      </c>
      <c r="BH287">
        <v>3017</v>
      </c>
      <c r="BI287">
        <v>3465</v>
      </c>
      <c r="BJ287">
        <v>3900</v>
      </c>
      <c r="BK287">
        <v>4272</v>
      </c>
      <c r="BL287">
        <v>4558</v>
      </c>
      <c r="BM287">
        <v>4904</v>
      </c>
      <c r="BN287">
        <v>5216</v>
      </c>
      <c r="BO287">
        <v>5544</v>
      </c>
      <c r="BP287">
        <v>5959</v>
      </c>
      <c r="BQ287">
        <v>6395</v>
      </c>
      <c r="BR287">
        <v>6838</v>
      </c>
      <c r="BS287">
        <v>7164</v>
      </c>
      <c r="BT287">
        <v>7432</v>
      </c>
      <c r="BU287">
        <v>7707</v>
      </c>
      <c r="BV287">
        <v>7936</v>
      </c>
      <c r="BW287">
        <v>8126</v>
      </c>
      <c r="BX287">
        <v>8272</v>
      </c>
      <c r="BY287">
        <v>8405</v>
      </c>
      <c r="BZ287">
        <v>8524</v>
      </c>
      <c r="CA287">
        <v>8594</v>
      </c>
      <c r="CB287">
        <v>8658</v>
      </c>
      <c r="CC287">
        <v>8703</v>
      </c>
      <c r="CD287">
        <v>8738</v>
      </c>
      <c r="CE287">
        <v>8753</v>
      </c>
      <c r="CF287">
        <v>8759</v>
      </c>
      <c r="CG287">
        <v>8760</v>
      </c>
      <c r="CH287">
        <v>8760</v>
      </c>
      <c r="CI287">
        <v>8760</v>
      </c>
      <c r="CJ287">
        <v>8760</v>
      </c>
      <c r="CK287">
        <v>8760</v>
      </c>
      <c r="CL287">
        <v>8760</v>
      </c>
      <c r="CM287">
        <v>8760</v>
      </c>
      <c r="CN287">
        <v>8760</v>
      </c>
      <c r="CO287">
        <v>8760</v>
      </c>
      <c r="CP287">
        <v>8760</v>
      </c>
      <c r="CQ287">
        <v>8760</v>
      </c>
      <c r="CR287">
        <v>8760</v>
      </c>
      <c r="CS287">
        <v>8760</v>
      </c>
      <c r="CT287">
        <v>8760</v>
      </c>
      <c r="CU287">
        <v>8760</v>
      </c>
      <c r="CV287">
        <v>8760</v>
      </c>
      <c r="CW287">
        <v>8760</v>
      </c>
      <c r="CX287">
        <v>8760</v>
      </c>
      <c r="CY287">
        <v>8760</v>
      </c>
      <c r="CZ287">
        <v>8760</v>
      </c>
      <c r="DA287">
        <v>8760</v>
      </c>
      <c r="DB287">
        <v>8760</v>
      </c>
    </row>
    <row r="288" spans="1:106" x14ac:dyDescent="0.25">
      <c r="A288" s="13" t="s">
        <v>305</v>
      </c>
      <c r="B288" t="s">
        <v>298</v>
      </c>
      <c r="C288" t="s">
        <v>438</v>
      </c>
      <c r="D288" t="s">
        <v>922</v>
      </c>
      <c r="E288" t="s">
        <v>923</v>
      </c>
      <c r="F288">
        <v>102250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2</v>
      </c>
      <c r="AM288">
        <v>8</v>
      </c>
      <c r="AN288">
        <v>20</v>
      </c>
      <c r="AO288">
        <v>47</v>
      </c>
      <c r="AP288">
        <v>76</v>
      </c>
      <c r="AQ288">
        <v>113</v>
      </c>
      <c r="AR288">
        <v>143</v>
      </c>
      <c r="AS288">
        <v>182</v>
      </c>
      <c r="AT288">
        <v>228</v>
      </c>
      <c r="AU288">
        <v>294</v>
      </c>
      <c r="AV288">
        <v>389</v>
      </c>
      <c r="AW288">
        <v>472</v>
      </c>
      <c r="AX288">
        <v>564</v>
      </c>
      <c r="AY288">
        <v>674</v>
      </c>
      <c r="AZ288">
        <v>784</v>
      </c>
      <c r="BA288">
        <v>978</v>
      </c>
      <c r="BB288">
        <v>1192</v>
      </c>
      <c r="BC288">
        <v>1458</v>
      </c>
      <c r="BD288">
        <v>1794</v>
      </c>
      <c r="BE288">
        <v>2218</v>
      </c>
      <c r="BF288">
        <v>2658</v>
      </c>
      <c r="BG288">
        <v>3067</v>
      </c>
      <c r="BH288">
        <v>3460</v>
      </c>
      <c r="BI288">
        <v>3896</v>
      </c>
      <c r="BJ288">
        <v>4273</v>
      </c>
      <c r="BK288">
        <v>4608</v>
      </c>
      <c r="BL288">
        <v>4967</v>
      </c>
      <c r="BM288">
        <v>5264</v>
      </c>
      <c r="BN288">
        <v>5575</v>
      </c>
      <c r="BO288">
        <v>5959</v>
      </c>
      <c r="BP288">
        <v>6353</v>
      </c>
      <c r="BQ288">
        <v>6771</v>
      </c>
      <c r="BR288">
        <v>7126</v>
      </c>
      <c r="BS288">
        <v>7443</v>
      </c>
      <c r="BT288">
        <v>7722</v>
      </c>
      <c r="BU288">
        <v>7967</v>
      </c>
      <c r="BV288">
        <v>8162</v>
      </c>
      <c r="BW288">
        <v>8320</v>
      </c>
      <c r="BX288">
        <v>8410</v>
      </c>
      <c r="BY288">
        <v>8491</v>
      </c>
      <c r="BZ288">
        <v>8572</v>
      </c>
      <c r="CA288">
        <v>8627</v>
      </c>
      <c r="CB288">
        <v>8659</v>
      </c>
      <c r="CC288">
        <v>8695</v>
      </c>
      <c r="CD288">
        <v>8712</v>
      </c>
      <c r="CE288">
        <v>8732</v>
      </c>
      <c r="CF288">
        <v>8749</v>
      </c>
      <c r="CG288">
        <v>8760</v>
      </c>
      <c r="CH288">
        <v>8760</v>
      </c>
      <c r="CI288">
        <v>8760</v>
      </c>
      <c r="CJ288">
        <v>8760</v>
      </c>
      <c r="CK288">
        <v>8760</v>
      </c>
      <c r="CL288">
        <v>8760</v>
      </c>
      <c r="CM288">
        <v>8760</v>
      </c>
      <c r="CN288">
        <v>8760</v>
      </c>
      <c r="CO288">
        <v>8760</v>
      </c>
      <c r="CP288">
        <v>8760</v>
      </c>
      <c r="CQ288">
        <v>8760</v>
      </c>
      <c r="CR288">
        <v>8760</v>
      </c>
      <c r="CS288">
        <v>8760</v>
      </c>
      <c r="CT288">
        <v>8760</v>
      </c>
      <c r="CU288">
        <v>8760</v>
      </c>
      <c r="CV288">
        <v>8760</v>
      </c>
      <c r="CW288">
        <v>8760</v>
      </c>
      <c r="CX288">
        <v>8760</v>
      </c>
      <c r="CY288">
        <v>8760</v>
      </c>
      <c r="CZ288">
        <v>8760</v>
      </c>
      <c r="DA288">
        <v>8760</v>
      </c>
      <c r="DB288">
        <v>8760</v>
      </c>
    </row>
    <row r="289" spans="1:106" x14ac:dyDescent="0.25">
      <c r="A289" s="13" t="s">
        <v>306</v>
      </c>
      <c r="B289" t="s">
        <v>297</v>
      </c>
      <c r="C289" t="s">
        <v>438</v>
      </c>
      <c r="D289" t="s">
        <v>924</v>
      </c>
      <c r="E289" t="s">
        <v>925</v>
      </c>
      <c r="F289">
        <v>102328</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6</v>
      </c>
      <c r="AM289">
        <v>14</v>
      </c>
      <c r="AN289">
        <v>29</v>
      </c>
      <c r="AO289">
        <v>41</v>
      </c>
      <c r="AP289">
        <v>62</v>
      </c>
      <c r="AQ289">
        <v>81</v>
      </c>
      <c r="AR289">
        <v>135</v>
      </c>
      <c r="AS289">
        <v>189</v>
      </c>
      <c r="AT289">
        <v>269</v>
      </c>
      <c r="AU289">
        <v>333</v>
      </c>
      <c r="AV289">
        <v>436</v>
      </c>
      <c r="AW289">
        <v>550</v>
      </c>
      <c r="AX289">
        <v>680</v>
      </c>
      <c r="AY289">
        <v>824</v>
      </c>
      <c r="AZ289">
        <v>994</v>
      </c>
      <c r="BA289">
        <v>1204</v>
      </c>
      <c r="BB289">
        <v>1472</v>
      </c>
      <c r="BC289">
        <v>1827</v>
      </c>
      <c r="BD289">
        <v>2189</v>
      </c>
      <c r="BE289">
        <v>2609</v>
      </c>
      <c r="BF289">
        <v>3024</v>
      </c>
      <c r="BG289">
        <v>3422</v>
      </c>
      <c r="BH289">
        <v>3827</v>
      </c>
      <c r="BI289">
        <v>4116</v>
      </c>
      <c r="BJ289">
        <v>4378</v>
      </c>
      <c r="BK289">
        <v>4672</v>
      </c>
      <c r="BL289">
        <v>4970</v>
      </c>
      <c r="BM289">
        <v>5345</v>
      </c>
      <c r="BN289">
        <v>5678</v>
      </c>
      <c r="BO289">
        <v>6041</v>
      </c>
      <c r="BP289">
        <v>6405</v>
      </c>
      <c r="BQ289">
        <v>6798</v>
      </c>
      <c r="BR289">
        <v>7129</v>
      </c>
      <c r="BS289">
        <v>7436</v>
      </c>
      <c r="BT289">
        <v>7750</v>
      </c>
      <c r="BU289">
        <v>8021</v>
      </c>
      <c r="BV289">
        <v>8238</v>
      </c>
      <c r="BW289">
        <v>8384</v>
      </c>
      <c r="BX289">
        <v>8494</v>
      </c>
      <c r="BY289">
        <v>8582</v>
      </c>
      <c r="BZ289">
        <v>8648</v>
      </c>
      <c r="CA289">
        <v>8696</v>
      </c>
      <c r="CB289">
        <v>8723</v>
      </c>
      <c r="CC289">
        <v>8741</v>
      </c>
      <c r="CD289">
        <v>8755</v>
      </c>
      <c r="CE289">
        <v>8760</v>
      </c>
      <c r="CF289">
        <v>8760</v>
      </c>
      <c r="CG289">
        <v>8760</v>
      </c>
      <c r="CH289">
        <v>8760</v>
      </c>
      <c r="CI289">
        <v>8760</v>
      </c>
      <c r="CJ289">
        <v>8760</v>
      </c>
      <c r="CK289">
        <v>8760</v>
      </c>
      <c r="CL289">
        <v>8760</v>
      </c>
      <c r="CM289">
        <v>8760</v>
      </c>
      <c r="CN289">
        <v>8760</v>
      </c>
      <c r="CO289">
        <v>8760</v>
      </c>
      <c r="CP289">
        <v>8760</v>
      </c>
      <c r="CQ289">
        <v>8760</v>
      </c>
      <c r="CR289">
        <v>8760</v>
      </c>
      <c r="CS289">
        <v>8760</v>
      </c>
      <c r="CT289">
        <v>8760</v>
      </c>
      <c r="CU289">
        <v>8760</v>
      </c>
      <c r="CV289">
        <v>8760</v>
      </c>
      <c r="CW289">
        <v>8760</v>
      </c>
      <c r="CX289">
        <v>8760</v>
      </c>
      <c r="CY289">
        <v>8760</v>
      </c>
      <c r="CZ289">
        <v>8760</v>
      </c>
      <c r="DA289">
        <v>8760</v>
      </c>
      <c r="DB289">
        <v>8760</v>
      </c>
    </row>
    <row r="290" spans="1:106" x14ac:dyDescent="0.25">
      <c r="A290" s="13" t="s">
        <v>307</v>
      </c>
      <c r="B290" t="s">
        <v>299</v>
      </c>
      <c r="C290" t="s">
        <v>438</v>
      </c>
      <c r="D290" t="s">
        <v>926</v>
      </c>
      <c r="E290" t="s">
        <v>927</v>
      </c>
      <c r="F290">
        <v>102101</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1</v>
      </c>
      <c r="AU290">
        <v>9</v>
      </c>
      <c r="AV290">
        <v>11</v>
      </c>
      <c r="AW290">
        <v>26</v>
      </c>
      <c r="AX290">
        <v>44</v>
      </c>
      <c r="AY290">
        <v>61</v>
      </c>
      <c r="AZ290">
        <v>89</v>
      </c>
      <c r="BA290">
        <v>139</v>
      </c>
      <c r="BB290">
        <v>225</v>
      </c>
      <c r="BC290">
        <v>414</v>
      </c>
      <c r="BD290">
        <v>720</v>
      </c>
      <c r="BE290">
        <v>1059</v>
      </c>
      <c r="BF290">
        <v>1474</v>
      </c>
      <c r="BG290">
        <v>1969</v>
      </c>
      <c r="BH290">
        <v>2504</v>
      </c>
      <c r="BI290">
        <v>3066</v>
      </c>
      <c r="BJ290">
        <v>3583</v>
      </c>
      <c r="BK290">
        <v>3985</v>
      </c>
      <c r="BL290">
        <v>4361</v>
      </c>
      <c r="BM290">
        <v>4653</v>
      </c>
      <c r="BN290">
        <v>4993</v>
      </c>
      <c r="BO290">
        <v>5372</v>
      </c>
      <c r="BP290">
        <v>5768</v>
      </c>
      <c r="BQ290">
        <v>6168</v>
      </c>
      <c r="BR290">
        <v>6535</v>
      </c>
      <c r="BS290">
        <v>6970</v>
      </c>
      <c r="BT290">
        <v>7386</v>
      </c>
      <c r="BU290">
        <v>7736</v>
      </c>
      <c r="BV290">
        <v>8079</v>
      </c>
      <c r="BW290">
        <v>8341</v>
      </c>
      <c r="BX290">
        <v>8494</v>
      </c>
      <c r="BY290">
        <v>8579</v>
      </c>
      <c r="BZ290">
        <v>8645</v>
      </c>
      <c r="CA290">
        <v>8704</v>
      </c>
      <c r="CB290">
        <v>8735</v>
      </c>
      <c r="CC290">
        <v>8756</v>
      </c>
      <c r="CD290">
        <v>8760</v>
      </c>
      <c r="CE290">
        <v>8760</v>
      </c>
      <c r="CF290">
        <v>8760</v>
      </c>
      <c r="CG290">
        <v>8760</v>
      </c>
      <c r="CH290">
        <v>8760</v>
      </c>
      <c r="CI290">
        <v>8760</v>
      </c>
      <c r="CJ290">
        <v>8760</v>
      </c>
      <c r="CK290">
        <v>8760</v>
      </c>
      <c r="CL290">
        <v>8760</v>
      </c>
      <c r="CM290">
        <v>8760</v>
      </c>
      <c r="CN290">
        <v>8760</v>
      </c>
      <c r="CO290">
        <v>8760</v>
      </c>
      <c r="CP290">
        <v>8760</v>
      </c>
      <c r="CQ290">
        <v>8760</v>
      </c>
      <c r="CR290">
        <v>8760</v>
      </c>
      <c r="CS290">
        <v>8760</v>
      </c>
      <c r="CT290">
        <v>8760</v>
      </c>
      <c r="CU290">
        <v>8760</v>
      </c>
      <c r="CV290">
        <v>8760</v>
      </c>
      <c r="CW290">
        <v>8760</v>
      </c>
      <c r="CX290">
        <v>8760</v>
      </c>
      <c r="CY290">
        <v>8760</v>
      </c>
      <c r="CZ290">
        <v>8760</v>
      </c>
      <c r="DA290">
        <v>8760</v>
      </c>
      <c r="DB290">
        <v>8760</v>
      </c>
    </row>
    <row r="291" spans="1:106" x14ac:dyDescent="0.25">
      <c r="A291" s="13" t="s">
        <v>308</v>
      </c>
      <c r="B291" t="s">
        <v>300</v>
      </c>
      <c r="C291" t="s">
        <v>438</v>
      </c>
      <c r="D291" t="s">
        <v>928</v>
      </c>
      <c r="E291" t="s">
        <v>929</v>
      </c>
      <c r="F291">
        <v>102212</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14</v>
      </c>
      <c r="AS291">
        <v>32</v>
      </c>
      <c r="AT291">
        <v>61</v>
      </c>
      <c r="AU291">
        <v>95</v>
      </c>
      <c r="AV291">
        <v>133</v>
      </c>
      <c r="AW291">
        <v>208</v>
      </c>
      <c r="AX291">
        <v>292</v>
      </c>
      <c r="AY291">
        <v>407</v>
      </c>
      <c r="AZ291">
        <v>557</v>
      </c>
      <c r="BA291">
        <v>742</v>
      </c>
      <c r="BB291">
        <v>991</v>
      </c>
      <c r="BC291">
        <v>1306</v>
      </c>
      <c r="BD291">
        <v>1627</v>
      </c>
      <c r="BE291">
        <v>2007</v>
      </c>
      <c r="BF291">
        <v>2444</v>
      </c>
      <c r="BG291">
        <v>2853</v>
      </c>
      <c r="BH291">
        <v>3214</v>
      </c>
      <c r="BI291">
        <v>3585</v>
      </c>
      <c r="BJ291">
        <v>3885</v>
      </c>
      <c r="BK291">
        <v>4203</v>
      </c>
      <c r="BL291">
        <v>4552</v>
      </c>
      <c r="BM291">
        <v>4915</v>
      </c>
      <c r="BN291">
        <v>5295</v>
      </c>
      <c r="BO291">
        <v>5702</v>
      </c>
      <c r="BP291">
        <v>6039</v>
      </c>
      <c r="BQ291">
        <v>6421</v>
      </c>
      <c r="BR291">
        <v>6820</v>
      </c>
      <c r="BS291">
        <v>7209</v>
      </c>
      <c r="BT291">
        <v>7525</v>
      </c>
      <c r="BU291">
        <v>7822</v>
      </c>
      <c r="BV291">
        <v>8060</v>
      </c>
      <c r="BW291">
        <v>8252</v>
      </c>
      <c r="BX291">
        <v>8391</v>
      </c>
      <c r="BY291">
        <v>8503</v>
      </c>
      <c r="BZ291">
        <v>8567</v>
      </c>
      <c r="CA291">
        <v>8625</v>
      </c>
      <c r="CB291">
        <v>8673</v>
      </c>
      <c r="CC291">
        <v>8705</v>
      </c>
      <c r="CD291">
        <v>8732</v>
      </c>
      <c r="CE291">
        <v>8752</v>
      </c>
      <c r="CF291">
        <v>8757</v>
      </c>
      <c r="CG291">
        <v>8760</v>
      </c>
      <c r="CH291">
        <v>8760</v>
      </c>
      <c r="CI291">
        <v>8760</v>
      </c>
      <c r="CJ291">
        <v>8760</v>
      </c>
      <c r="CK291">
        <v>8760</v>
      </c>
      <c r="CL291">
        <v>8760</v>
      </c>
      <c r="CM291">
        <v>8760</v>
      </c>
      <c r="CN291">
        <v>8760</v>
      </c>
      <c r="CO291">
        <v>8760</v>
      </c>
      <c r="CP291">
        <v>8760</v>
      </c>
      <c r="CQ291">
        <v>8760</v>
      </c>
      <c r="CR291">
        <v>8760</v>
      </c>
      <c r="CS291">
        <v>8760</v>
      </c>
      <c r="CT291">
        <v>8760</v>
      </c>
      <c r="CU291">
        <v>8760</v>
      </c>
      <c r="CV291">
        <v>8760</v>
      </c>
      <c r="CW291">
        <v>8760</v>
      </c>
      <c r="CX291">
        <v>8760</v>
      </c>
      <c r="CY291">
        <v>8760</v>
      </c>
      <c r="CZ291">
        <v>8760</v>
      </c>
      <c r="DA291">
        <v>8760</v>
      </c>
      <c r="DB291">
        <v>8760</v>
      </c>
    </row>
    <row r="292" spans="1:106" x14ac:dyDescent="0.25">
      <c r="A292" s="13" t="s">
        <v>309</v>
      </c>
      <c r="B292" t="s">
        <v>301</v>
      </c>
      <c r="C292" t="s">
        <v>438</v>
      </c>
      <c r="D292" t="s">
        <v>930</v>
      </c>
      <c r="E292" t="s">
        <v>931</v>
      </c>
      <c r="F292">
        <v>102415</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6</v>
      </c>
      <c r="AR292">
        <v>24</v>
      </c>
      <c r="AS292">
        <v>45</v>
      </c>
      <c r="AT292">
        <v>87</v>
      </c>
      <c r="AU292">
        <v>146</v>
      </c>
      <c r="AV292">
        <v>215</v>
      </c>
      <c r="AW292">
        <v>314</v>
      </c>
      <c r="AX292">
        <v>391</v>
      </c>
      <c r="AY292">
        <v>482</v>
      </c>
      <c r="AZ292">
        <v>625</v>
      </c>
      <c r="BA292">
        <v>791</v>
      </c>
      <c r="BB292">
        <v>1016</v>
      </c>
      <c r="BC292">
        <v>1267</v>
      </c>
      <c r="BD292">
        <v>1659</v>
      </c>
      <c r="BE292">
        <v>2147</v>
      </c>
      <c r="BF292">
        <v>2711</v>
      </c>
      <c r="BG292">
        <v>3217</v>
      </c>
      <c r="BH292">
        <v>3592</v>
      </c>
      <c r="BI292">
        <v>3981</v>
      </c>
      <c r="BJ292">
        <v>4334</v>
      </c>
      <c r="BK292">
        <v>4662</v>
      </c>
      <c r="BL292">
        <v>4956</v>
      </c>
      <c r="BM292">
        <v>5253</v>
      </c>
      <c r="BN292">
        <v>5575</v>
      </c>
      <c r="BO292">
        <v>5913</v>
      </c>
      <c r="BP292">
        <v>6268</v>
      </c>
      <c r="BQ292">
        <v>6619</v>
      </c>
      <c r="BR292">
        <v>6998</v>
      </c>
      <c r="BS292">
        <v>7352</v>
      </c>
      <c r="BT292">
        <v>7663</v>
      </c>
      <c r="BU292">
        <v>7912</v>
      </c>
      <c r="BV292">
        <v>8119</v>
      </c>
      <c r="BW292">
        <v>8276</v>
      </c>
      <c r="BX292">
        <v>8414</v>
      </c>
      <c r="BY292">
        <v>8514</v>
      </c>
      <c r="BZ292">
        <v>8600</v>
      </c>
      <c r="CA292">
        <v>8664</v>
      </c>
      <c r="CB292">
        <v>8708</v>
      </c>
      <c r="CC292">
        <v>8742</v>
      </c>
      <c r="CD292">
        <v>8754</v>
      </c>
      <c r="CE292">
        <v>8760</v>
      </c>
      <c r="CF292">
        <v>8760</v>
      </c>
      <c r="CG292">
        <v>8760</v>
      </c>
      <c r="CH292">
        <v>8760</v>
      </c>
      <c r="CI292">
        <v>8760</v>
      </c>
      <c r="CJ292">
        <v>8760</v>
      </c>
      <c r="CK292">
        <v>8760</v>
      </c>
      <c r="CL292">
        <v>8760</v>
      </c>
      <c r="CM292">
        <v>8760</v>
      </c>
      <c r="CN292">
        <v>8760</v>
      </c>
      <c r="CO292">
        <v>8760</v>
      </c>
      <c r="CP292">
        <v>8760</v>
      </c>
      <c r="CQ292">
        <v>8760</v>
      </c>
      <c r="CR292">
        <v>8760</v>
      </c>
      <c r="CS292">
        <v>8760</v>
      </c>
      <c r="CT292">
        <v>8760</v>
      </c>
      <c r="CU292">
        <v>8760</v>
      </c>
      <c r="CV292">
        <v>8760</v>
      </c>
      <c r="CW292">
        <v>8760</v>
      </c>
      <c r="CX292">
        <v>8760</v>
      </c>
      <c r="CY292">
        <v>8760</v>
      </c>
      <c r="CZ292">
        <v>8760</v>
      </c>
      <c r="DA292">
        <v>8760</v>
      </c>
      <c r="DB292">
        <v>8760</v>
      </c>
    </row>
    <row r="293" spans="1:106" x14ac:dyDescent="0.25">
      <c r="A293" s="13" t="s">
        <v>310</v>
      </c>
      <c r="B293" t="s">
        <v>418</v>
      </c>
    </row>
    <row r="294" spans="1:106" x14ac:dyDescent="0.25">
      <c r="A294" s="13" t="s">
        <v>311</v>
      </c>
      <c r="B294" t="s">
        <v>302</v>
      </c>
      <c r="C294" t="s">
        <v>438</v>
      </c>
      <c r="D294" t="s">
        <v>932</v>
      </c>
      <c r="E294" t="s">
        <v>933</v>
      </c>
      <c r="F294">
        <v>102611</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9</v>
      </c>
      <c r="AQ294">
        <v>13</v>
      </c>
      <c r="AR294">
        <v>23</v>
      </c>
      <c r="AS294">
        <v>50</v>
      </c>
      <c r="AT294">
        <v>91</v>
      </c>
      <c r="AU294">
        <v>129</v>
      </c>
      <c r="AV294">
        <v>181</v>
      </c>
      <c r="AW294">
        <v>249</v>
      </c>
      <c r="AX294">
        <v>307</v>
      </c>
      <c r="AY294">
        <v>372</v>
      </c>
      <c r="AZ294">
        <v>486</v>
      </c>
      <c r="BA294">
        <v>661</v>
      </c>
      <c r="BB294">
        <v>921</v>
      </c>
      <c r="BC294">
        <v>1279</v>
      </c>
      <c r="BD294">
        <v>1705</v>
      </c>
      <c r="BE294">
        <v>2220</v>
      </c>
      <c r="BF294">
        <v>2696</v>
      </c>
      <c r="BG294">
        <v>3149</v>
      </c>
      <c r="BH294">
        <v>3515</v>
      </c>
      <c r="BI294">
        <v>3864</v>
      </c>
      <c r="BJ294">
        <v>4170</v>
      </c>
      <c r="BK294">
        <v>4481</v>
      </c>
      <c r="BL294">
        <v>4794</v>
      </c>
      <c r="BM294">
        <v>5146</v>
      </c>
      <c r="BN294">
        <v>5498</v>
      </c>
      <c r="BO294">
        <v>5821</v>
      </c>
      <c r="BP294">
        <v>6140</v>
      </c>
      <c r="BQ294">
        <v>6549</v>
      </c>
      <c r="BR294">
        <v>6959</v>
      </c>
      <c r="BS294">
        <v>7341</v>
      </c>
      <c r="BT294">
        <v>7658</v>
      </c>
      <c r="BU294">
        <v>7936</v>
      </c>
      <c r="BV294">
        <v>8155</v>
      </c>
      <c r="BW294">
        <v>8353</v>
      </c>
      <c r="BX294">
        <v>8496</v>
      </c>
      <c r="BY294">
        <v>8612</v>
      </c>
      <c r="BZ294">
        <v>8699</v>
      </c>
      <c r="CA294">
        <v>8735</v>
      </c>
      <c r="CB294">
        <v>8748</v>
      </c>
      <c r="CC294">
        <v>8756</v>
      </c>
      <c r="CD294">
        <v>8760</v>
      </c>
      <c r="CE294">
        <v>8760</v>
      </c>
      <c r="CF294">
        <v>8760</v>
      </c>
      <c r="CG294">
        <v>8760</v>
      </c>
      <c r="CH294">
        <v>8760</v>
      </c>
      <c r="CI294">
        <v>8760</v>
      </c>
      <c r="CJ294">
        <v>8760</v>
      </c>
      <c r="CK294">
        <v>8760</v>
      </c>
      <c r="CL294">
        <v>8760</v>
      </c>
      <c r="CM294">
        <v>8760</v>
      </c>
      <c r="CN294">
        <v>8760</v>
      </c>
      <c r="CO294">
        <v>8760</v>
      </c>
      <c r="CP294">
        <v>8760</v>
      </c>
      <c r="CQ294">
        <v>8760</v>
      </c>
      <c r="CR294">
        <v>8760</v>
      </c>
      <c r="CS294">
        <v>8760</v>
      </c>
      <c r="CT294">
        <v>8760</v>
      </c>
      <c r="CU294">
        <v>8760</v>
      </c>
      <c r="CV294">
        <v>8760</v>
      </c>
      <c r="CW294">
        <v>8760</v>
      </c>
      <c r="CX294">
        <v>8760</v>
      </c>
      <c r="CY294">
        <v>8760</v>
      </c>
      <c r="CZ294">
        <v>8760</v>
      </c>
      <c r="DA294">
        <v>8760</v>
      </c>
      <c r="DB294">
        <v>8760</v>
      </c>
    </row>
    <row r="295" spans="1:106" x14ac:dyDescent="0.25">
      <c r="A295" s="13" t="s">
        <v>312</v>
      </c>
      <c r="B295" t="s">
        <v>283</v>
      </c>
      <c r="C295" t="s">
        <v>438</v>
      </c>
      <c r="D295" t="s">
        <v>934</v>
      </c>
      <c r="E295" t="s">
        <v>935</v>
      </c>
      <c r="F295">
        <v>102629</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2</v>
      </c>
      <c r="AN295">
        <v>7</v>
      </c>
      <c r="AO295">
        <v>14</v>
      </c>
      <c r="AP295">
        <v>16</v>
      </c>
      <c r="AQ295">
        <v>20</v>
      </c>
      <c r="AR295">
        <v>32</v>
      </c>
      <c r="AS295">
        <v>43</v>
      </c>
      <c r="AT295">
        <v>63</v>
      </c>
      <c r="AU295">
        <v>95</v>
      </c>
      <c r="AV295">
        <v>129</v>
      </c>
      <c r="AW295">
        <v>199</v>
      </c>
      <c r="AX295">
        <v>308</v>
      </c>
      <c r="AY295">
        <v>471</v>
      </c>
      <c r="AZ295">
        <v>617</v>
      </c>
      <c r="BA295">
        <v>794</v>
      </c>
      <c r="BB295">
        <v>1085</v>
      </c>
      <c r="BC295">
        <v>1398</v>
      </c>
      <c r="BD295">
        <v>1736</v>
      </c>
      <c r="BE295">
        <v>2172</v>
      </c>
      <c r="BF295">
        <v>2641</v>
      </c>
      <c r="BG295">
        <v>3065</v>
      </c>
      <c r="BH295">
        <v>3483</v>
      </c>
      <c r="BI295">
        <v>3948</v>
      </c>
      <c r="BJ295">
        <v>4304</v>
      </c>
      <c r="BK295">
        <v>4623</v>
      </c>
      <c r="BL295">
        <v>4935</v>
      </c>
      <c r="BM295">
        <v>5204</v>
      </c>
      <c r="BN295">
        <v>5519</v>
      </c>
      <c r="BO295">
        <v>5813</v>
      </c>
      <c r="BP295">
        <v>6156</v>
      </c>
      <c r="BQ295">
        <v>6463</v>
      </c>
      <c r="BR295">
        <v>6789</v>
      </c>
      <c r="BS295">
        <v>7119</v>
      </c>
      <c r="BT295">
        <v>7412</v>
      </c>
      <c r="BU295">
        <v>7665</v>
      </c>
      <c r="BV295">
        <v>7870</v>
      </c>
      <c r="BW295">
        <v>8063</v>
      </c>
      <c r="BX295">
        <v>8220</v>
      </c>
      <c r="BY295">
        <v>8370</v>
      </c>
      <c r="BZ295">
        <v>8487</v>
      </c>
      <c r="CA295">
        <v>8557</v>
      </c>
      <c r="CB295">
        <v>8631</v>
      </c>
      <c r="CC295">
        <v>8697</v>
      </c>
      <c r="CD295">
        <v>8729</v>
      </c>
      <c r="CE295">
        <v>8740</v>
      </c>
      <c r="CF295">
        <v>8748</v>
      </c>
      <c r="CG295">
        <v>8759</v>
      </c>
      <c r="CH295">
        <v>8760</v>
      </c>
      <c r="CI295">
        <v>8760</v>
      </c>
      <c r="CJ295">
        <v>8760</v>
      </c>
      <c r="CK295">
        <v>8760</v>
      </c>
      <c r="CL295">
        <v>8760</v>
      </c>
      <c r="CM295">
        <v>8760</v>
      </c>
      <c r="CN295">
        <v>8760</v>
      </c>
      <c r="CO295">
        <v>8760</v>
      </c>
      <c r="CP295">
        <v>8760</v>
      </c>
      <c r="CQ295">
        <v>8760</v>
      </c>
      <c r="CR295">
        <v>8760</v>
      </c>
      <c r="CS295">
        <v>8760</v>
      </c>
      <c r="CT295">
        <v>8760</v>
      </c>
      <c r="CU295">
        <v>8760</v>
      </c>
      <c r="CV295">
        <v>8760</v>
      </c>
      <c r="CW295">
        <v>8760</v>
      </c>
      <c r="CX295">
        <v>8760</v>
      </c>
      <c r="CY295">
        <v>8760</v>
      </c>
      <c r="CZ295">
        <v>8760</v>
      </c>
      <c r="DA295">
        <v>8760</v>
      </c>
      <c r="DB295">
        <v>8760</v>
      </c>
    </row>
    <row r="296" spans="1:106" x14ac:dyDescent="0.25">
      <c r="A296" s="13" t="s">
        <v>313</v>
      </c>
      <c r="B296" t="s">
        <v>419</v>
      </c>
      <c r="C296" t="s">
        <v>438</v>
      </c>
      <c r="D296" t="s">
        <v>936</v>
      </c>
      <c r="E296" t="s">
        <v>937</v>
      </c>
      <c r="F296">
        <v>102819</v>
      </c>
      <c r="G296">
        <v>0</v>
      </c>
      <c r="H296">
        <v>0</v>
      </c>
      <c r="I296">
        <v>0</v>
      </c>
      <c r="J296">
        <v>0</v>
      </c>
      <c r="K296">
        <v>0</v>
      </c>
      <c r="L296">
        <v>0</v>
      </c>
      <c r="M296">
        <v>0</v>
      </c>
      <c r="N296">
        <v>0</v>
      </c>
      <c r="O296">
        <v>0</v>
      </c>
      <c r="P296">
        <v>0</v>
      </c>
      <c r="Q296">
        <v>0</v>
      </c>
      <c r="R296">
        <v>0</v>
      </c>
      <c r="S296">
        <v>0</v>
      </c>
      <c r="T296">
        <v>0</v>
      </c>
      <c r="U296">
        <v>0</v>
      </c>
      <c r="V296">
        <v>0</v>
      </c>
      <c r="W296">
        <v>0</v>
      </c>
      <c r="X296">
        <v>0</v>
      </c>
      <c r="Y296">
        <v>0</v>
      </c>
      <c r="Z296">
        <v>1</v>
      </c>
      <c r="AA296">
        <v>4</v>
      </c>
      <c r="AB296">
        <v>6</v>
      </c>
      <c r="AC296">
        <v>8</v>
      </c>
      <c r="AD296">
        <v>12</v>
      </c>
      <c r="AE296">
        <v>14</v>
      </c>
      <c r="AF296">
        <v>16</v>
      </c>
      <c r="AG296">
        <v>30</v>
      </c>
      <c r="AH296">
        <v>42</v>
      </c>
      <c r="AI296">
        <v>54</v>
      </c>
      <c r="AJ296">
        <v>72</v>
      </c>
      <c r="AK296">
        <v>97</v>
      </c>
      <c r="AL296">
        <v>133</v>
      </c>
      <c r="AM296">
        <v>172</v>
      </c>
      <c r="AN296">
        <v>245</v>
      </c>
      <c r="AO296">
        <v>322</v>
      </c>
      <c r="AP296">
        <v>411</v>
      </c>
      <c r="AQ296">
        <v>515</v>
      </c>
      <c r="AR296">
        <v>625</v>
      </c>
      <c r="AS296">
        <v>786</v>
      </c>
      <c r="AT296">
        <v>931</v>
      </c>
      <c r="AU296">
        <v>1105</v>
      </c>
      <c r="AV296">
        <v>1301</v>
      </c>
      <c r="AW296">
        <v>1499</v>
      </c>
      <c r="AX296">
        <v>1759</v>
      </c>
      <c r="AY296">
        <v>2059</v>
      </c>
      <c r="AZ296">
        <v>2328</v>
      </c>
      <c r="BA296">
        <v>2676</v>
      </c>
      <c r="BB296">
        <v>3044</v>
      </c>
      <c r="BC296">
        <v>3507</v>
      </c>
      <c r="BD296">
        <v>3956</v>
      </c>
      <c r="BE296">
        <v>4353</v>
      </c>
      <c r="BF296">
        <v>4785</v>
      </c>
      <c r="BG296">
        <v>5177</v>
      </c>
      <c r="BH296">
        <v>5482</v>
      </c>
      <c r="BI296">
        <v>5841</v>
      </c>
      <c r="BJ296">
        <v>6192</v>
      </c>
      <c r="BK296">
        <v>6522</v>
      </c>
      <c r="BL296">
        <v>6867</v>
      </c>
      <c r="BM296">
        <v>7168</v>
      </c>
      <c r="BN296">
        <v>7485</v>
      </c>
      <c r="BO296">
        <v>7773</v>
      </c>
      <c r="BP296">
        <v>7982</v>
      </c>
      <c r="BQ296">
        <v>8144</v>
      </c>
      <c r="BR296">
        <v>8291</v>
      </c>
      <c r="BS296">
        <v>8401</v>
      </c>
      <c r="BT296">
        <v>8488</v>
      </c>
      <c r="BU296">
        <v>8581</v>
      </c>
      <c r="BV296">
        <v>8631</v>
      </c>
      <c r="BW296">
        <v>8662</v>
      </c>
      <c r="BX296">
        <v>8686</v>
      </c>
      <c r="BY296">
        <v>8700</v>
      </c>
      <c r="BZ296">
        <v>8720</v>
      </c>
      <c r="CA296">
        <v>8733</v>
      </c>
      <c r="CB296">
        <v>8752</v>
      </c>
      <c r="CC296">
        <v>8760</v>
      </c>
      <c r="CD296">
        <v>8760</v>
      </c>
      <c r="CE296">
        <v>8760</v>
      </c>
      <c r="CF296">
        <v>8760</v>
      </c>
      <c r="CG296">
        <v>8760</v>
      </c>
      <c r="CH296">
        <v>8760</v>
      </c>
      <c r="CI296">
        <v>8760</v>
      </c>
      <c r="CJ296">
        <v>8760</v>
      </c>
      <c r="CK296">
        <v>8760</v>
      </c>
      <c r="CL296">
        <v>8760</v>
      </c>
      <c r="CM296">
        <v>8760</v>
      </c>
      <c r="CN296">
        <v>8760</v>
      </c>
      <c r="CO296">
        <v>8760</v>
      </c>
      <c r="CP296">
        <v>8760</v>
      </c>
      <c r="CQ296">
        <v>8760</v>
      </c>
      <c r="CR296">
        <v>8760</v>
      </c>
      <c r="CS296">
        <v>8760</v>
      </c>
      <c r="CT296">
        <v>8760</v>
      </c>
      <c r="CU296">
        <v>8760</v>
      </c>
      <c r="CV296">
        <v>8760</v>
      </c>
      <c r="CW296">
        <v>8760</v>
      </c>
      <c r="CX296">
        <v>8760</v>
      </c>
      <c r="CY296">
        <v>8760</v>
      </c>
      <c r="CZ296">
        <v>8760</v>
      </c>
      <c r="DA296">
        <v>8760</v>
      </c>
      <c r="DB296">
        <v>8760</v>
      </c>
    </row>
    <row r="297" spans="1:106" x14ac:dyDescent="0.25">
      <c r="A297" s="13" t="s">
        <v>314</v>
      </c>
      <c r="B297" t="s">
        <v>286</v>
      </c>
      <c r="C297" t="s">
        <v>438</v>
      </c>
      <c r="D297" t="s">
        <v>938</v>
      </c>
      <c r="E297" t="s">
        <v>939</v>
      </c>
      <c r="F297">
        <v>102618</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1</v>
      </c>
      <c r="AK297">
        <v>3</v>
      </c>
      <c r="AL297">
        <v>7</v>
      </c>
      <c r="AM297">
        <v>23</v>
      </c>
      <c r="AN297">
        <v>44</v>
      </c>
      <c r="AO297">
        <v>66</v>
      </c>
      <c r="AP297">
        <v>110</v>
      </c>
      <c r="AQ297">
        <v>157</v>
      </c>
      <c r="AR297">
        <v>207</v>
      </c>
      <c r="AS297">
        <v>249</v>
      </c>
      <c r="AT297">
        <v>337</v>
      </c>
      <c r="AU297">
        <v>443</v>
      </c>
      <c r="AV297">
        <v>538</v>
      </c>
      <c r="AW297">
        <v>645</v>
      </c>
      <c r="AX297">
        <v>756</v>
      </c>
      <c r="AY297">
        <v>892</v>
      </c>
      <c r="AZ297">
        <v>1065</v>
      </c>
      <c r="BA297">
        <v>1278</v>
      </c>
      <c r="BB297">
        <v>1578</v>
      </c>
      <c r="BC297">
        <v>1929</v>
      </c>
      <c r="BD297">
        <v>2321</v>
      </c>
      <c r="BE297">
        <v>2822</v>
      </c>
      <c r="BF297">
        <v>3284</v>
      </c>
      <c r="BG297">
        <v>3701</v>
      </c>
      <c r="BH297">
        <v>4057</v>
      </c>
      <c r="BI297">
        <v>4382</v>
      </c>
      <c r="BJ297">
        <v>4679</v>
      </c>
      <c r="BK297">
        <v>4959</v>
      </c>
      <c r="BL297">
        <v>5219</v>
      </c>
      <c r="BM297">
        <v>5511</v>
      </c>
      <c r="BN297">
        <v>5847</v>
      </c>
      <c r="BO297">
        <v>6193</v>
      </c>
      <c r="BP297">
        <v>6520</v>
      </c>
      <c r="BQ297">
        <v>6836</v>
      </c>
      <c r="BR297">
        <v>7181</v>
      </c>
      <c r="BS297">
        <v>7447</v>
      </c>
      <c r="BT297">
        <v>7711</v>
      </c>
      <c r="BU297">
        <v>7918</v>
      </c>
      <c r="BV297">
        <v>8125</v>
      </c>
      <c r="BW297">
        <v>8305</v>
      </c>
      <c r="BX297">
        <v>8429</v>
      </c>
      <c r="BY297">
        <v>8522</v>
      </c>
      <c r="BZ297">
        <v>8599</v>
      </c>
      <c r="CA297">
        <v>8649</v>
      </c>
      <c r="CB297">
        <v>8673</v>
      </c>
      <c r="CC297">
        <v>8706</v>
      </c>
      <c r="CD297">
        <v>8728</v>
      </c>
      <c r="CE297">
        <v>8741</v>
      </c>
      <c r="CF297">
        <v>8752</v>
      </c>
      <c r="CG297">
        <v>8759</v>
      </c>
      <c r="CH297">
        <v>8760</v>
      </c>
      <c r="CI297">
        <v>8760</v>
      </c>
      <c r="CJ297">
        <v>8760</v>
      </c>
      <c r="CK297">
        <v>8760</v>
      </c>
      <c r="CL297">
        <v>8760</v>
      </c>
      <c r="CM297">
        <v>8760</v>
      </c>
      <c r="CN297">
        <v>8760</v>
      </c>
      <c r="CO297">
        <v>8760</v>
      </c>
      <c r="CP297">
        <v>8760</v>
      </c>
      <c r="CQ297">
        <v>8760</v>
      </c>
      <c r="CR297">
        <v>8760</v>
      </c>
      <c r="CS297">
        <v>8760</v>
      </c>
      <c r="CT297">
        <v>8760</v>
      </c>
      <c r="CU297">
        <v>8760</v>
      </c>
      <c r="CV297">
        <v>8760</v>
      </c>
      <c r="CW297">
        <v>8760</v>
      </c>
      <c r="CX297">
        <v>8760</v>
      </c>
      <c r="CY297">
        <v>8760</v>
      </c>
      <c r="CZ297">
        <v>8760</v>
      </c>
      <c r="DA297">
        <v>8760</v>
      </c>
      <c r="DB297">
        <v>8760</v>
      </c>
    </row>
    <row r="298" spans="1:106" x14ac:dyDescent="0.25">
      <c r="A298" s="13" t="s">
        <v>315</v>
      </c>
      <c r="B298" t="s">
        <v>294</v>
      </c>
      <c r="C298" t="s">
        <v>438</v>
      </c>
      <c r="D298" t="s">
        <v>940</v>
      </c>
      <c r="E298" t="s">
        <v>941</v>
      </c>
      <c r="F298">
        <v>102239</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1</v>
      </c>
      <c r="AJ298">
        <v>4</v>
      </c>
      <c r="AK298">
        <v>11</v>
      </c>
      <c r="AL298">
        <v>20</v>
      </c>
      <c r="AM298">
        <v>24</v>
      </c>
      <c r="AN298">
        <v>27</v>
      </c>
      <c r="AO298">
        <v>32</v>
      </c>
      <c r="AP298">
        <v>35</v>
      </c>
      <c r="AQ298">
        <v>47</v>
      </c>
      <c r="AR298">
        <v>67</v>
      </c>
      <c r="AS298">
        <v>86</v>
      </c>
      <c r="AT298">
        <v>103</v>
      </c>
      <c r="AU298">
        <v>120</v>
      </c>
      <c r="AV298">
        <v>143</v>
      </c>
      <c r="AW298">
        <v>198</v>
      </c>
      <c r="AX298">
        <v>273</v>
      </c>
      <c r="AY298">
        <v>366</v>
      </c>
      <c r="AZ298">
        <v>479</v>
      </c>
      <c r="BA298">
        <v>629</v>
      </c>
      <c r="BB298">
        <v>878</v>
      </c>
      <c r="BC298">
        <v>1238</v>
      </c>
      <c r="BD298">
        <v>1691</v>
      </c>
      <c r="BE298">
        <v>2129</v>
      </c>
      <c r="BF298">
        <v>2618</v>
      </c>
      <c r="BG298">
        <v>3001</v>
      </c>
      <c r="BH298">
        <v>3402</v>
      </c>
      <c r="BI298">
        <v>3761</v>
      </c>
      <c r="BJ298">
        <v>4121</v>
      </c>
      <c r="BK298">
        <v>4496</v>
      </c>
      <c r="BL298">
        <v>4772</v>
      </c>
      <c r="BM298">
        <v>5154</v>
      </c>
      <c r="BN298">
        <v>5509</v>
      </c>
      <c r="BO298">
        <v>5905</v>
      </c>
      <c r="BP298">
        <v>6315</v>
      </c>
      <c r="BQ298">
        <v>6707</v>
      </c>
      <c r="BR298">
        <v>7088</v>
      </c>
      <c r="BS298">
        <v>7437</v>
      </c>
      <c r="BT298">
        <v>7745</v>
      </c>
      <c r="BU298">
        <v>7978</v>
      </c>
      <c r="BV298">
        <v>8198</v>
      </c>
      <c r="BW298">
        <v>8352</v>
      </c>
      <c r="BX298">
        <v>8483</v>
      </c>
      <c r="BY298">
        <v>8576</v>
      </c>
      <c r="BZ298">
        <v>8628</v>
      </c>
      <c r="CA298">
        <v>8667</v>
      </c>
      <c r="CB298">
        <v>8698</v>
      </c>
      <c r="CC298">
        <v>8723</v>
      </c>
      <c r="CD298">
        <v>8747</v>
      </c>
      <c r="CE298">
        <v>8757</v>
      </c>
      <c r="CF298">
        <v>8760</v>
      </c>
      <c r="CG298">
        <v>8760</v>
      </c>
      <c r="CH298">
        <v>8760</v>
      </c>
      <c r="CI298">
        <v>8760</v>
      </c>
      <c r="CJ298">
        <v>8760</v>
      </c>
      <c r="CK298">
        <v>8760</v>
      </c>
      <c r="CL298">
        <v>8760</v>
      </c>
      <c r="CM298">
        <v>8760</v>
      </c>
      <c r="CN298">
        <v>8760</v>
      </c>
      <c r="CO298">
        <v>8760</v>
      </c>
      <c r="CP298">
        <v>8760</v>
      </c>
      <c r="CQ298">
        <v>8760</v>
      </c>
      <c r="CR298">
        <v>8760</v>
      </c>
      <c r="CS298">
        <v>8760</v>
      </c>
      <c r="CT298">
        <v>8760</v>
      </c>
      <c r="CU298">
        <v>8760</v>
      </c>
      <c r="CV298">
        <v>8760</v>
      </c>
      <c r="CW298">
        <v>8760</v>
      </c>
      <c r="CX298">
        <v>8760</v>
      </c>
      <c r="CY298">
        <v>8760</v>
      </c>
      <c r="CZ298">
        <v>8760</v>
      </c>
      <c r="DA298">
        <v>8760</v>
      </c>
      <c r="DB298">
        <v>8760</v>
      </c>
    </row>
    <row r="299" spans="1:106" x14ac:dyDescent="0.25">
      <c r="A299" s="13" t="s">
        <v>316</v>
      </c>
      <c r="B299" t="s">
        <v>303</v>
      </c>
      <c r="C299" t="s">
        <v>438</v>
      </c>
      <c r="D299" t="s">
        <v>942</v>
      </c>
      <c r="E299" t="s">
        <v>943</v>
      </c>
      <c r="F299">
        <v>102210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5</v>
      </c>
      <c r="AR299">
        <v>23</v>
      </c>
      <c r="AS299">
        <v>44</v>
      </c>
      <c r="AT299">
        <v>66</v>
      </c>
      <c r="AU299">
        <v>91</v>
      </c>
      <c r="AV299">
        <v>128</v>
      </c>
      <c r="AW299">
        <v>188</v>
      </c>
      <c r="AX299">
        <v>233</v>
      </c>
      <c r="AY299">
        <v>340</v>
      </c>
      <c r="AZ299">
        <v>450</v>
      </c>
      <c r="BA299">
        <v>643</v>
      </c>
      <c r="BB299">
        <v>857</v>
      </c>
      <c r="BC299">
        <v>1122</v>
      </c>
      <c r="BD299">
        <v>1478</v>
      </c>
      <c r="BE299">
        <v>1955</v>
      </c>
      <c r="BF299">
        <v>2367</v>
      </c>
      <c r="BG299">
        <v>2784</v>
      </c>
      <c r="BH299">
        <v>3201</v>
      </c>
      <c r="BI299">
        <v>3647</v>
      </c>
      <c r="BJ299">
        <v>3998</v>
      </c>
      <c r="BK299">
        <v>4331</v>
      </c>
      <c r="BL299">
        <v>4640</v>
      </c>
      <c r="BM299">
        <v>4933</v>
      </c>
      <c r="BN299">
        <v>5237</v>
      </c>
      <c r="BO299">
        <v>5553</v>
      </c>
      <c r="BP299">
        <v>5962</v>
      </c>
      <c r="BQ299">
        <v>6314</v>
      </c>
      <c r="BR299">
        <v>6677</v>
      </c>
      <c r="BS299">
        <v>7095</v>
      </c>
      <c r="BT299">
        <v>7474</v>
      </c>
      <c r="BU299">
        <v>7838</v>
      </c>
      <c r="BV299">
        <v>8084</v>
      </c>
      <c r="BW299">
        <v>8258</v>
      </c>
      <c r="BX299">
        <v>8385</v>
      </c>
      <c r="BY299">
        <v>8475</v>
      </c>
      <c r="BZ299">
        <v>8567</v>
      </c>
      <c r="CA299">
        <v>8610</v>
      </c>
      <c r="CB299">
        <v>8659</v>
      </c>
      <c r="CC299">
        <v>8691</v>
      </c>
      <c r="CD299">
        <v>8727</v>
      </c>
      <c r="CE299">
        <v>8746</v>
      </c>
      <c r="CF299">
        <v>8754</v>
      </c>
      <c r="CG299">
        <v>8760</v>
      </c>
      <c r="CH299">
        <v>8760</v>
      </c>
      <c r="CI299">
        <v>8760</v>
      </c>
      <c r="CJ299">
        <v>8760</v>
      </c>
      <c r="CK299">
        <v>8760</v>
      </c>
      <c r="CL299">
        <v>8760</v>
      </c>
      <c r="CM299">
        <v>8760</v>
      </c>
      <c r="CN299">
        <v>8760</v>
      </c>
      <c r="CO299">
        <v>8760</v>
      </c>
      <c r="CP299">
        <v>8760</v>
      </c>
      <c r="CQ299">
        <v>8760</v>
      </c>
      <c r="CR299">
        <v>8760</v>
      </c>
      <c r="CS299">
        <v>8760</v>
      </c>
      <c r="CT299">
        <v>8760</v>
      </c>
      <c r="CU299">
        <v>8760</v>
      </c>
      <c r="CV299">
        <v>8760</v>
      </c>
      <c r="CW299">
        <v>8760</v>
      </c>
      <c r="CX299">
        <v>8760</v>
      </c>
      <c r="CY299">
        <v>8760</v>
      </c>
      <c r="CZ299">
        <v>8760</v>
      </c>
      <c r="DA299">
        <v>8760</v>
      </c>
      <c r="DB299">
        <v>8760</v>
      </c>
    </row>
    <row r="300" spans="1:106" x14ac:dyDescent="0.25">
      <c r="A300" s="13" t="s">
        <v>317</v>
      </c>
      <c r="B300" t="s">
        <v>304</v>
      </c>
      <c r="C300" t="s">
        <v>438</v>
      </c>
      <c r="D300" t="s">
        <v>944</v>
      </c>
      <c r="E300" t="s">
        <v>945</v>
      </c>
      <c r="F300">
        <v>102231</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2</v>
      </c>
      <c r="AM300">
        <v>4</v>
      </c>
      <c r="AN300">
        <v>8</v>
      </c>
      <c r="AO300">
        <v>11</v>
      </c>
      <c r="AP300">
        <v>15</v>
      </c>
      <c r="AQ300">
        <v>24</v>
      </c>
      <c r="AR300">
        <v>45</v>
      </c>
      <c r="AS300">
        <v>69</v>
      </c>
      <c r="AT300">
        <v>91</v>
      </c>
      <c r="AU300">
        <v>115</v>
      </c>
      <c r="AV300">
        <v>132</v>
      </c>
      <c r="AW300">
        <v>188</v>
      </c>
      <c r="AX300">
        <v>258</v>
      </c>
      <c r="AY300">
        <v>340</v>
      </c>
      <c r="AZ300">
        <v>475</v>
      </c>
      <c r="BA300">
        <v>643</v>
      </c>
      <c r="BB300">
        <v>881</v>
      </c>
      <c r="BC300">
        <v>1189</v>
      </c>
      <c r="BD300">
        <v>1498</v>
      </c>
      <c r="BE300">
        <v>1843</v>
      </c>
      <c r="BF300">
        <v>2185</v>
      </c>
      <c r="BG300">
        <v>2612</v>
      </c>
      <c r="BH300">
        <v>3119</v>
      </c>
      <c r="BI300">
        <v>3515</v>
      </c>
      <c r="BJ300">
        <v>3975</v>
      </c>
      <c r="BK300">
        <v>4333</v>
      </c>
      <c r="BL300">
        <v>4725</v>
      </c>
      <c r="BM300">
        <v>5047</v>
      </c>
      <c r="BN300">
        <v>5418</v>
      </c>
      <c r="BO300">
        <v>5840</v>
      </c>
      <c r="BP300">
        <v>6203</v>
      </c>
      <c r="BQ300">
        <v>6572</v>
      </c>
      <c r="BR300">
        <v>6898</v>
      </c>
      <c r="BS300">
        <v>7251</v>
      </c>
      <c r="BT300">
        <v>7490</v>
      </c>
      <c r="BU300">
        <v>7717</v>
      </c>
      <c r="BV300">
        <v>7933</v>
      </c>
      <c r="BW300">
        <v>8068</v>
      </c>
      <c r="BX300">
        <v>8204</v>
      </c>
      <c r="BY300">
        <v>8324</v>
      </c>
      <c r="BZ300">
        <v>8432</v>
      </c>
      <c r="CA300">
        <v>8523</v>
      </c>
      <c r="CB300">
        <v>8610</v>
      </c>
      <c r="CC300">
        <v>8672</v>
      </c>
      <c r="CD300">
        <v>8709</v>
      </c>
      <c r="CE300">
        <v>8729</v>
      </c>
      <c r="CF300">
        <v>8743</v>
      </c>
      <c r="CG300">
        <v>8752</v>
      </c>
      <c r="CH300">
        <v>8757</v>
      </c>
      <c r="CI300">
        <v>8760</v>
      </c>
      <c r="CJ300">
        <v>8760</v>
      </c>
      <c r="CK300">
        <v>8760</v>
      </c>
      <c r="CL300">
        <v>8760</v>
      </c>
      <c r="CM300">
        <v>8760</v>
      </c>
      <c r="CN300">
        <v>8760</v>
      </c>
      <c r="CO300">
        <v>8760</v>
      </c>
      <c r="CP300">
        <v>8760</v>
      </c>
      <c r="CQ300">
        <v>8760</v>
      </c>
      <c r="CR300">
        <v>8760</v>
      </c>
      <c r="CS300">
        <v>8760</v>
      </c>
      <c r="CT300">
        <v>8760</v>
      </c>
      <c r="CU300">
        <v>8760</v>
      </c>
      <c r="CV300">
        <v>8760</v>
      </c>
      <c r="CW300">
        <v>8760</v>
      </c>
      <c r="CX300">
        <v>8760</v>
      </c>
      <c r="CY300">
        <v>8760</v>
      </c>
      <c r="CZ300">
        <v>8760</v>
      </c>
      <c r="DA300">
        <v>8760</v>
      </c>
      <c r="DB300">
        <v>8760</v>
      </c>
    </row>
    <row r="301" spans="1:106" x14ac:dyDescent="0.25">
      <c r="A301" s="13" t="s">
        <v>318</v>
      </c>
      <c r="B301" t="s">
        <v>305</v>
      </c>
      <c r="C301" t="s">
        <v>438</v>
      </c>
      <c r="D301" t="s">
        <v>946</v>
      </c>
      <c r="E301" t="s">
        <v>947</v>
      </c>
      <c r="F301">
        <v>102207</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2</v>
      </c>
      <c r="AM301">
        <v>12</v>
      </c>
      <c r="AN301">
        <v>21</v>
      </c>
      <c r="AO301">
        <v>32</v>
      </c>
      <c r="AP301">
        <v>54</v>
      </c>
      <c r="AQ301">
        <v>76</v>
      </c>
      <c r="AR301">
        <v>98</v>
      </c>
      <c r="AS301">
        <v>114</v>
      </c>
      <c r="AT301">
        <v>152</v>
      </c>
      <c r="AU301">
        <v>192</v>
      </c>
      <c r="AV301">
        <v>253</v>
      </c>
      <c r="AW301">
        <v>351</v>
      </c>
      <c r="AX301">
        <v>444</v>
      </c>
      <c r="AY301">
        <v>590</v>
      </c>
      <c r="AZ301">
        <v>753</v>
      </c>
      <c r="BA301">
        <v>937</v>
      </c>
      <c r="BB301">
        <v>1182</v>
      </c>
      <c r="BC301">
        <v>1532</v>
      </c>
      <c r="BD301">
        <v>1893</v>
      </c>
      <c r="BE301">
        <v>2287</v>
      </c>
      <c r="BF301">
        <v>2694</v>
      </c>
      <c r="BG301">
        <v>3151</v>
      </c>
      <c r="BH301">
        <v>3658</v>
      </c>
      <c r="BI301">
        <v>4110</v>
      </c>
      <c r="BJ301">
        <v>4503</v>
      </c>
      <c r="BK301">
        <v>4854</v>
      </c>
      <c r="BL301">
        <v>5187</v>
      </c>
      <c r="BM301">
        <v>5464</v>
      </c>
      <c r="BN301">
        <v>5816</v>
      </c>
      <c r="BO301">
        <v>6172</v>
      </c>
      <c r="BP301">
        <v>6566</v>
      </c>
      <c r="BQ301">
        <v>6934</v>
      </c>
      <c r="BR301">
        <v>7296</v>
      </c>
      <c r="BS301">
        <v>7606</v>
      </c>
      <c r="BT301">
        <v>7829</v>
      </c>
      <c r="BU301">
        <v>8057</v>
      </c>
      <c r="BV301">
        <v>8273</v>
      </c>
      <c r="BW301">
        <v>8431</v>
      </c>
      <c r="BX301">
        <v>8517</v>
      </c>
      <c r="BY301">
        <v>8580</v>
      </c>
      <c r="BZ301">
        <v>8626</v>
      </c>
      <c r="CA301">
        <v>8667</v>
      </c>
      <c r="CB301">
        <v>8714</v>
      </c>
      <c r="CC301">
        <v>8735</v>
      </c>
      <c r="CD301">
        <v>8745</v>
      </c>
      <c r="CE301">
        <v>8757</v>
      </c>
      <c r="CF301">
        <v>8760</v>
      </c>
      <c r="CG301">
        <v>8760</v>
      </c>
      <c r="CH301">
        <v>8760</v>
      </c>
      <c r="CI301">
        <v>8760</v>
      </c>
      <c r="CJ301">
        <v>8760</v>
      </c>
      <c r="CK301">
        <v>8760</v>
      </c>
      <c r="CL301">
        <v>8760</v>
      </c>
      <c r="CM301">
        <v>8760</v>
      </c>
      <c r="CN301">
        <v>8760</v>
      </c>
      <c r="CO301">
        <v>8760</v>
      </c>
      <c r="CP301">
        <v>8760</v>
      </c>
      <c r="CQ301">
        <v>8760</v>
      </c>
      <c r="CR301">
        <v>8760</v>
      </c>
      <c r="CS301">
        <v>8760</v>
      </c>
      <c r="CT301">
        <v>8760</v>
      </c>
      <c r="CU301">
        <v>8760</v>
      </c>
      <c r="CV301">
        <v>8760</v>
      </c>
      <c r="CW301">
        <v>8760</v>
      </c>
      <c r="CX301">
        <v>8760</v>
      </c>
      <c r="CY301">
        <v>8760</v>
      </c>
      <c r="CZ301">
        <v>8760</v>
      </c>
      <c r="DA301">
        <v>8760</v>
      </c>
      <c r="DB301">
        <v>8760</v>
      </c>
    </row>
    <row r="302" spans="1:106" x14ac:dyDescent="0.25">
      <c r="A302" s="13" t="s">
        <v>319</v>
      </c>
      <c r="B302" t="s">
        <v>306</v>
      </c>
      <c r="C302" t="s">
        <v>438</v>
      </c>
      <c r="D302" t="s">
        <v>420</v>
      </c>
      <c r="E302" t="s">
        <v>421</v>
      </c>
      <c r="F302">
        <v>102905</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1</v>
      </c>
      <c r="AH302">
        <v>7</v>
      </c>
      <c r="AI302">
        <v>19</v>
      </c>
      <c r="AJ302">
        <v>33</v>
      </c>
      <c r="AK302">
        <v>72</v>
      </c>
      <c r="AL302">
        <v>106</v>
      </c>
      <c r="AM302">
        <v>134</v>
      </c>
      <c r="AN302">
        <v>162</v>
      </c>
      <c r="AO302">
        <v>212</v>
      </c>
      <c r="AP302">
        <v>254</v>
      </c>
      <c r="AQ302">
        <v>322</v>
      </c>
      <c r="AR302">
        <v>371</v>
      </c>
      <c r="AS302">
        <v>441</v>
      </c>
      <c r="AT302">
        <v>542</v>
      </c>
      <c r="AU302">
        <v>643</v>
      </c>
      <c r="AV302">
        <v>735</v>
      </c>
      <c r="AW302">
        <v>869</v>
      </c>
      <c r="AX302">
        <v>1074</v>
      </c>
      <c r="AY302">
        <v>1241</v>
      </c>
      <c r="AZ302">
        <v>1471</v>
      </c>
      <c r="BA302">
        <v>1691</v>
      </c>
      <c r="BB302">
        <v>1993</v>
      </c>
      <c r="BC302">
        <v>2417</v>
      </c>
      <c r="BD302">
        <v>2840</v>
      </c>
      <c r="BE302">
        <v>3278</v>
      </c>
      <c r="BF302">
        <v>3755</v>
      </c>
      <c r="BG302">
        <v>4144</v>
      </c>
      <c r="BH302">
        <v>4540</v>
      </c>
      <c r="BI302">
        <v>4876</v>
      </c>
      <c r="BJ302">
        <v>5189</v>
      </c>
      <c r="BK302">
        <v>5512</v>
      </c>
      <c r="BL302">
        <v>5813</v>
      </c>
      <c r="BM302">
        <v>6126</v>
      </c>
      <c r="BN302">
        <v>6406</v>
      </c>
      <c r="BO302">
        <v>6703</v>
      </c>
      <c r="BP302">
        <v>7002</v>
      </c>
      <c r="BQ302">
        <v>7290</v>
      </c>
      <c r="BR302">
        <v>7547</v>
      </c>
      <c r="BS302">
        <v>7771</v>
      </c>
      <c r="BT302">
        <v>7963</v>
      </c>
      <c r="BU302">
        <v>8147</v>
      </c>
      <c r="BV302">
        <v>8306</v>
      </c>
      <c r="BW302">
        <v>8432</v>
      </c>
      <c r="BX302">
        <v>8515</v>
      </c>
      <c r="BY302">
        <v>8602</v>
      </c>
      <c r="BZ302">
        <v>8668</v>
      </c>
      <c r="CA302">
        <v>8705</v>
      </c>
      <c r="CB302">
        <v>8732</v>
      </c>
      <c r="CC302">
        <v>8742</v>
      </c>
      <c r="CD302">
        <v>8754</v>
      </c>
      <c r="CE302">
        <v>8760</v>
      </c>
      <c r="CF302">
        <v>8760</v>
      </c>
      <c r="CG302">
        <v>8760</v>
      </c>
      <c r="CH302">
        <v>8760</v>
      </c>
      <c r="CI302">
        <v>8760</v>
      </c>
      <c r="CJ302">
        <v>8760</v>
      </c>
      <c r="CK302">
        <v>8760</v>
      </c>
      <c r="CL302">
        <v>8760</v>
      </c>
      <c r="CM302">
        <v>8760</v>
      </c>
      <c r="CN302">
        <v>8760</v>
      </c>
      <c r="CO302">
        <v>8760</v>
      </c>
      <c r="CP302">
        <v>8760</v>
      </c>
      <c r="CQ302">
        <v>8760</v>
      </c>
      <c r="CR302">
        <v>8760</v>
      </c>
      <c r="CS302">
        <v>8760</v>
      </c>
      <c r="CT302">
        <v>8760</v>
      </c>
      <c r="CU302">
        <v>8760</v>
      </c>
      <c r="CV302">
        <v>8760</v>
      </c>
      <c r="CW302">
        <v>8760</v>
      </c>
      <c r="CX302">
        <v>8760</v>
      </c>
      <c r="CY302">
        <v>8760</v>
      </c>
      <c r="CZ302">
        <v>8760</v>
      </c>
      <c r="DA302">
        <v>8760</v>
      </c>
      <c r="DB302">
        <v>8760</v>
      </c>
    </row>
    <row r="303" spans="1:106" x14ac:dyDescent="0.25">
      <c r="A303" s="13" t="s">
        <v>320</v>
      </c>
      <c r="B303" t="s">
        <v>307</v>
      </c>
      <c r="C303" t="s">
        <v>438</v>
      </c>
      <c r="D303" t="s">
        <v>948</v>
      </c>
      <c r="E303" t="s">
        <v>949</v>
      </c>
      <c r="F303">
        <v>102607</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8</v>
      </c>
      <c r="AP303">
        <v>23</v>
      </c>
      <c r="AQ303">
        <v>43</v>
      </c>
      <c r="AR303">
        <v>84</v>
      </c>
      <c r="AS303">
        <v>136</v>
      </c>
      <c r="AT303">
        <v>191</v>
      </c>
      <c r="AU303">
        <v>274</v>
      </c>
      <c r="AV303">
        <v>351</v>
      </c>
      <c r="AW303">
        <v>457</v>
      </c>
      <c r="AX303">
        <v>558</v>
      </c>
      <c r="AY303">
        <v>736</v>
      </c>
      <c r="AZ303">
        <v>918</v>
      </c>
      <c r="BA303">
        <v>1126</v>
      </c>
      <c r="BB303">
        <v>1338</v>
      </c>
      <c r="BC303">
        <v>1624</v>
      </c>
      <c r="BD303">
        <v>1959</v>
      </c>
      <c r="BE303">
        <v>2416</v>
      </c>
      <c r="BF303">
        <v>2816</v>
      </c>
      <c r="BG303">
        <v>3215</v>
      </c>
      <c r="BH303">
        <v>3542</v>
      </c>
      <c r="BI303">
        <v>3858</v>
      </c>
      <c r="BJ303">
        <v>4154</v>
      </c>
      <c r="BK303">
        <v>4475</v>
      </c>
      <c r="BL303">
        <v>4781</v>
      </c>
      <c r="BM303">
        <v>5145</v>
      </c>
      <c r="BN303">
        <v>5499</v>
      </c>
      <c r="BO303">
        <v>5800</v>
      </c>
      <c r="BP303">
        <v>6109</v>
      </c>
      <c r="BQ303">
        <v>6420</v>
      </c>
      <c r="BR303">
        <v>6806</v>
      </c>
      <c r="BS303">
        <v>7127</v>
      </c>
      <c r="BT303">
        <v>7432</v>
      </c>
      <c r="BU303">
        <v>7726</v>
      </c>
      <c r="BV303">
        <v>7971</v>
      </c>
      <c r="BW303">
        <v>8178</v>
      </c>
      <c r="BX303">
        <v>8335</v>
      </c>
      <c r="BY303">
        <v>8460</v>
      </c>
      <c r="BZ303">
        <v>8570</v>
      </c>
      <c r="CA303">
        <v>8637</v>
      </c>
      <c r="CB303">
        <v>8682</v>
      </c>
      <c r="CC303">
        <v>8710</v>
      </c>
      <c r="CD303">
        <v>8732</v>
      </c>
      <c r="CE303">
        <v>8743</v>
      </c>
      <c r="CF303">
        <v>8751</v>
      </c>
      <c r="CG303">
        <v>8758</v>
      </c>
      <c r="CH303">
        <v>8760</v>
      </c>
      <c r="CI303">
        <v>8760</v>
      </c>
      <c r="CJ303">
        <v>8760</v>
      </c>
      <c r="CK303">
        <v>8760</v>
      </c>
      <c r="CL303">
        <v>8760</v>
      </c>
      <c r="CM303">
        <v>8760</v>
      </c>
      <c r="CN303">
        <v>8760</v>
      </c>
      <c r="CO303">
        <v>8760</v>
      </c>
      <c r="CP303">
        <v>8760</v>
      </c>
      <c r="CQ303">
        <v>8760</v>
      </c>
      <c r="CR303">
        <v>8760</v>
      </c>
      <c r="CS303">
        <v>8760</v>
      </c>
      <c r="CT303">
        <v>8760</v>
      </c>
      <c r="CU303">
        <v>8760</v>
      </c>
      <c r="CV303">
        <v>8760</v>
      </c>
      <c r="CW303">
        <v>8760</v>
      </c>
      <c r="CX303">
        <v>8760</v>
      </c>
      <c r="CY303">
        <v>8760</v>
      </c>
      <c r="CZ303">
        <v>8760</v>
      </c>
      <c r="DA303">
        <v>8760</v>
      </c>
      <c r="DB303">
        <v>8760</v>
      </c>
    </row>
    <row r="304" spans="1:106" x14ac:dyDescent="0.25">
      <c r="A304" s="13" t="s">
        <v>321</v>
      </c>
      <c r="B304" t="s">
        <v>308</v>
      </c>
      <c r="C304" t="s">
        <v>438</v>
      </c>
      <c r="D304" t="s">
        <v>757</v>
      </c>
      <c r="E304" t="s">
        <v>950</v>
      </c>
      <c r="F304">
        <v>102639</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4</v>
      </c>
      <c r="AN304">
        <v>8</v>
      </c>
      <c r="AO304">
        <v>17</v>
      </c>
      <c r="AP304">
        <v>21</v>
      </c>
      <c r="AQ304">
        <v>41</v>
      </c>
      <c r="AR304">
        <v>74</v>
      </c>
      <c r="AS304">
        <v>107</v>
      </c>
      <c r="AT304">
        <v>138</v>
      </c>
      <c r="AU304">
        <v>205</v>
      </c>
      <c r="AV304">
        <v>267</v>
      </c>
      <c r="AW304">
        <v>354</v>
      </c>
      <c r="AX304">
        <v>458</v>
      </c>
      <c r="AY304">
        <v>597</v>
      </c>
      <c r="AZ304">
        <v>734</v>
      </c>
      <c r="BA304">
        <v>866</v>
      </c>
      <c r="BB304">
        <v>1084</v>
      </c>
      <c r="BC304">
        <v>1376</v>
      </c>
      <c r="BD304">
        <v>1735</v>
      </c>
      <c r="BE304">
        <v>2240</v>
      </c>
      <c r="BF304">
        <v>2676</v>
      </c>
      <c r="BG304">
        <v>3070</v>
      </c>
      <c r="BH304">
        <v>3427</v>
      </c>
      <c r="BI304">
        <v>3857</v>
      </c>
      <c r="BJ304">
        <v>4275</v>
      </c>
      <c r="BK304">
        <v>4617</v>
      </c>
      <c r="BL304">
        <v>4919</v>
      </c>
      <c r="BM304">
        <v>5171</v>
      </c>
      <c r="BN304">
        <v>5483</v>
      </c>
      <c r="BO304">
        <v>5776</v>
      </c>
      <c r="BP304">
        <v>6099</v>
      </c>
      <c r="BQ304">
        <v>6429</v>
      </c>
      <c r="BR304">
        <v>6805</v>
      </c>
      <c r="BS304">
        <v>7195</v>
      </c>
      <c r="BT304">
        <v>7485</v>
      </c>
      <c r="BU304">
        <v>7779</v>
      </c>
      <c r="BV304">
        <v>8010</v>
      </c>
      <c r="BW304">
        <v>8190</v>
      </c>
      <c r="BX304">
        <v>8337</v>
      </c>
      <c r="BY304">
        <v>8469</v>
      </c>
      <c r="BZ304">
        <v>8579</v>
      </c>
      <c r="CA304">
        <v>8641</v>
      </c>
      <c r="CB304">
        <v>8690</v>
      </c>
      <c r="CC304">
        <v>8717</v>
      </c>
      <c r="CD304">
        <v>8737</v>
      </c>
      <c r="CE304">
        <v>8746</v>
      </c>
      <c r="CF304">
        <v>8752</v>
      </c>
      <c r="CG304">
        <v>8756</v>
      </c>
      <c r="CH304">
        <v>8760</v>
      </c>
      <c r="CI304">
        <v>8760</v>
      </c>
      <c r="CJ304">
        <v>8760</v>
      </c>
      <c r="CK304">
        <v>8760</v>
      </c>
      <c r="CL304">
        <v>8760</v>
      </c>
      <c r="CM304">
        <v>8760</v>
      </c>
      <c r="CN304">
        <v>8760</v>
      </c>
      <c r="CO304">
        <v>8760</v>
      </c>
      <c r="CP304">
        <v>8760</v>
      </c>
      <c r="CQ304">
        <v>8760</v>
      </c>
      <c r="CR304">
        <v>8760</v>
      </c>
      <c r="CS304">
        <v>8760</v>
      </c>
      <c r="CT304">
        <v>8760</v>
      </c>
      <c r="CU304">
        <v>8760</v>
      </c>
      <c r="CV304">
        <v>8760</v>
      </c>
      <c r="CW304">
        <v>8760</v>
      </c>
      <c r="CX304">
        <v>8760</v>
      </c>
      <c r="CY304">
        <v>8760</v>
      </c>
      <c r="CZ304">
        <v>8760</v>
      </c>
      <c r="DA304">
        <v>8760</v>
      </c>
      <c r="DB304">
        <v>8760</v>
      </c>
    </row>
    <row r="305" spans="1:106" x14ac:dyDescent="0.25">
      <c r="A305" s="13" t="s">
        <v>322</v>
      </c>
      <c r="B305" t="s">
        <v>309</v>
      </c>
      <c r="C305" t="s">
        <v>438</v>
      </c>
      <c r="D305" t="s">
        <v>951</v>
      </c>
      <c r="E305" t="s">
        <v>952</v>
      </c>
      <c r="F305">
        <v>102617</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1</v>
      </c>
      <c r="AF305">
        <v>5</v>
      </c>
      <c r="AG305">
        <v>8</v>
      </c>
      <c r="AH305">
        <v>12</v>
      </c>
      <c r="AI305">
        <v>19</v>
      </c>
      <c r="AJ305">
        <v>27</v>
      </c>
      <c r="AK305">
        <v>29</v>
      </c>
      <c r="AL305">
        <v>33</v>
      </c>
      <c r="AM305">
        <v>47</v>
      </c>
      <c r="AN305">
        <v>57</v>
      </c>
      <c r="AO305">
        <v>72</v>
      </c>
      <c r="AP305">
        <v>88</v>
      </c>
      <c r="AQ305">
        <v>119</v>
      </c>
      <c r="AR305">
        <v>145</v>
      </c>
      <c r="AS305">
        <v>170</v>
      </c>
      <c r="AT305">
        <v>212</v>
      </c>
      <c r="AU305">
        <v>283</v>
      </c>
      <c r="AV305">
        <v>352</v>
      </c>
      <c r="AW305">
        <v>456</v>
      </c>
      <c r="AX305">
        <v>580</v>
      </c>
      <c r="AY305">
        <v>769</v>
      </c>
      <c r="AZ305">
        <v>946</v>
      </c>
      <c r="BA305">
        <v>1206</v>
      </c>
      <c r="BB305">
        <v>1468</v>
      </c>
      <c r="BC305">
        <v>1799</v>
      </c>
      <c r="BD305">
        <v>2147</v>
      </c>
      <c r="BE305">
        <v>2551</v>
      </c>
      <c r="BF305">
        <v>2923</v>
      </c>
      <c r="BG305">
        <v>3273</v>
      </c>
      <c r="BH305">
        <v>3672</v>
      </c>
      <c r="BI305">
        <v>4023</v>
      </c>
      <c r="BJ305">
        <v>4408</v>
      </c>
      <c r="BK305">
        <v>4748</v>
      </c>
      <c r="BL305">
        <v>5073</v>
      </c>
      <c r="BM305">
        <v>5362</v>
      </c>
      <c r="BN305">
        <v>5702</v>
      </c>
      <c r="BO305">
        <v>6025</v>
      </c>
      <c r="BP305">
        <v>6318</v>
      </c>
      <c r="BQ305">
        <v>6643</v>
      </c>
      <c r="BR305">
        <v>7007</v>
      </c>
      <c r="BS305">
        <v>7267</v>
      </c>
      <c r="BT305">
        <v>7532</v>
      </c>
      <c r="BU305">
        <v>7768</v>
      </c>
      <c r="BV305">
        <v>7976</v>
      </c>
      <c r="BW305">
        <v>8147</v>
      </c>
      <c r="BX305">
        <v>8312</v>
      </c>
      <c r="BY305">
        <v>8430</v>
      </c>
      <c r="BZ305">
        <v>8512</v>
      </c>
      <c r="CA305">
        <v>8588</v>
      </c>
      <c r="CB305">
        <v>8633</v>
      </c>
      <c r="CC305">
        <v>8665</v>
      </c>
      <c r="CD305">
        <v>8686</v>
      </c>
      <c r="CE305">
        <v>8707</v>
      </c>
      <c r="CF305">
        <v>8726</v>
      </c>
      <c r="CG305">
        <v>8750</v>
      </c>
      <c r="CH305">
        <v>8760</v>
      </c>
      <c r="CI305">
        <v>8760</v>
      </c>
      <c r="CJ305">
        <v>8760</v>
      </c>
      <c r="CK305">
        <v>8760</v>
      </c>
      <c r="CL305">
        <v>8760</v>
      </c>
      <c r="CM305">
        <v>8760</v>
      </c>
      <c r="CN305">
        <v>8760</v>
      </c>
      <c r="CO305">
        <v>8760</v>
      </c>
      <c r="CP305">
        <v>8760</v>
      </c>
      <c r="CQ305">
        <v>8760</v>
      </c>
      <c r="CR305">
        <v>8760</v>
      </c>
      <c r="CS305">
        <v>8760</v>
      </c>
      <c r="CT305">
        <v>8760</v>
      </c>
      <c r="CU305">
        <v>8760</v>
      </c>
      <c r="CV305">
        <v>8760</v>
      </c>
      <c r="CW305">
        <v>8760</v>
      </c>
      <c r="CX305">
        <v>8760</v>
      </c>
      <c r="CY305">
        <v>8760</v>
      </c>
      <c r="CZ305">
        <v>8760</v>
      </c>
      <c r="DA305">
        <v>8760</v>
      </c>
      <c r="DB305">
        <v>8760</v>
      </c>
    </row>
    <row r="306" spans="1:106" x14ac:dyDescent="0.25">
      <c r="A306" s="13" t="s">
        <v>323</v>
      </c>
      <c r="B306" t="s">
        <v>422</v>
      </c>
    </row>
    <row r="307" spans="1:106" x14ac:dyDescent="0.25">
      <c r="A307" s="13" t="s">
        <v>324</v>
      </c>
      <c r="B307" t="s">
        <v>310</v>
      </c>
      <c r="C307" t="s">
        <v>438</v>
      </c>
      <c r="D307" t="s">
        <v>953</v>
      </c>
      <c r="E307" t="s">
        <v>954</v>
      </c>
      <c r="F307">
        <v>102418</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3</v>
      </c>
      <c r="AK307">
        <v>5</v>
      </c>
      <c r="AL307">
        <v>6</v>
      </c>
      <c r="AM307">
        <v>19</v>
      </c>
      <c r="AN307">
        <v>24</v>
      </c>
      <c r="AO307">
        <v>29</v>
      </c>
      <c r="AP307">
        <v>37</v>
      </c>
      <c r="AQ307">
        <v>41</v>
      </c>
      <c r="AR307">
        <v>47</v>
      </c>
      <c r="AS307">
        <v>72</v>
      </c>
      <c r="AT307">
        <v>92</v>
      </c>
      <c r="AU307">
        <v>123</v>
      </c>
      <c r="AV307">
        <v>162</v>
      </c>
      <c r="AW307">
        <v>228</v>
      </c>
      <c r="AX307">
        <v>316</v>
      </c>
      <c r="AY307">
        <v>400</v>
      </c>
      <c r="AZ307">
        <v>509</v>
      </c>
      <c r="BA307">
        <v>692</v>
      </c>
      <c r="BB307">
        <v>949</v>
      </c>
      <c r="BC307">
        <v>1308</v>
      </c>
      <c r="BD307">
        <v>1726</v>
      </c>
      <c r="BE307">
        <v>2238</v>
      </c>
      <c r="BF307">
        <v>2644</v>
      </c>
      <c r="BG307">
        <v>3030</v>
      </c>
      <c r="BH307">
        <v>3415</v>
      </c>
      <c r="BI307">
        <v>3730</v>
      </c>
      <c r="BJ307">
        <v>4080</v>
      </c>
      <c r="BK307">
        <v>4372</v>
      </c>
      <c r="BL307">
        <v>4711</v>
      </c>
      <c r="BM307">
        <v>5101</v>
      </c>
      <c r="BN307">
        <v>5509</v>
      </c>
      <c r="BO307">
        <v>5923</v>
      </c>
      <c r="BP307">
        <v>6394</v>
      </c>
      <c r="BQ307">
        <v>6750</v>
      </c>
      <c r="BR307">
        <v>7105</v>
      </c>
      <c r="BS307">
        <v>7459</v>
      </c>
      <c r="BT307">
        <v>7755</v>
      </c>
      <c r="BU307">
        <v>8022</v>
      </c>
      <c r="BV307">
        <v>8226</v>
      </c>
      <c r="BW307">
        <v>8389</v>
      </c>
      <c r="BX307">
        <v>8521</v>
      </c>
      <c r="BY307">
        <v>8607</v>
      </c>
      <c r="BZ307">
        <v>8662</v>
      </c>
      <c r="CA307">
        <v>8698</v>
      </c>
      <c r="CB307">
        <v>8718</v>
      </c>
      <c r="CC307">
        <v>8738</v>
      </c>
      <c r="CD307">
        <v>8753</v>
      </c>
      <c r="CE307">
        <v>8758</v>
      </c>
      <c r="CF307">
        <v>8760</v>
      </c>
      <c r="CG307">
        <v>8760</v>
      </c>
      <c r="CH307">
        <v>8760</v>
      </c>
      <c r="CI307">
        <v>8760</v>
      </c>
      <c r="CJ307">
        <v>8760</v>
      </c>
      <c r="CK307">
        <v>8760</v>
      </c>
      <c r="CL307">
        <v>8760</v>
      </c>
      <c r="CM307">
        <v>8760</v>
      </c>
      <c r="CN307">
        <v>8760</v>
      </c>
      <c r="CO307">
        <v>8760</v>
      </c>
      <c r="CP307">
        <v>8760</v>
      </c>
      <c r="CQ307">
        <v>8760</v>
      </c>
      <c r="CR307">
        <v>8760</v>
      </c>
      <c r="CS307">
        <v>8760</v>
      </c>
      <c r="CT307">
        <v>8760</v>
      </c>
      <c r="CU307">
        <v>8760</v>
      </c>
      <c r="CV307">
        <v>8760</v>
      </c>
      <c r="CW307">
        <v>8760</v>
      </c>
      <c r="CX307">
        <v>8760</v>
      </c>
      <c r="CY307">
        <v>8760</v>
      </c>
      <c r="CZ307">
        <v>8760</v>
      </c>
      <c r="DA307">
        <v>8760</v>
      </c>
      <c r="DB307">
        <v>8760</v>
      </c>
    </row>
    <row r="308" spans="1:106" x14ac:dyDescent="0.25">
      <c r="A308" s="13" t="s">
        <v>325</v>
      </c>
      <c r="B308" t="s">
        <v>311</v>
      </c>
      <c r="C308" t="s">
        <v>438</v>
      </c>
      <c r="D308" t="s">
        <v>955</v>
      </c>
      <c r="E308" t="s">
        <v>956</v>
      </c>
      <c r="F308">
        <v>102319</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1</v>
      </c>
      <c r="AM308">
        <v>3</v>
      </c>
      <c r="AN308">
        <v>9</v>
      </c>
      <c r="AO308">
        <v>15</v>
      </c>
      <c r="AP308">
        <v>30</v>
      </c>
      <c r="AQ308">
        <v>55</v>
      </c>
      <c r="AR308">
        <v>74</v>
      </c>
      <c r="AS308">
        <v>110</v>
      </c>
      <c r="AT308">
        <v>142</v>
      </c>
      <c r="AU308">
        <v>203</v>
      </c>
      <c r="AV308">
        <v>252</v>
      </c>
      <c r="AW308">
        <v>322</v>
      </c>
      <c r="AX308">
        <v>412</v>
      </c>
      <c r="AY308">
        <v>535</v>
      </c>
      <c r="AZ308">
        <v>677</v>
      </c>
      <c r="BA308">
        <v>843</v>
      </c>
      <c r="BB308">
        <v>1112</v>
      </c>
      <c r="BC308">
        <v>1456</v>
      </c>
      <c r="BD308">
        <v>1865</v>
      </c>
      <c r="BE308">
        <v>2345</v>
      </c>
      <c r="BF308">
        <v>2808</v>
      </c>
      <c r="BG308">
        <v>3264</v>
      </c>
      <c r="BH308">
        <v>3694</v>
      </c>
      <c r="BI308">
        <v>4040</v>
      </c>
      <c r="BJ308">
        <v>4384</v>
      </c>
      <c r="BK308">
        <v>4706</v>
      </c>
      <c r="BL308">
        <v>5052</v>
      </c>
      <c r="BM308">
        <v>5421</v>
      </c>
      <c r="BN308">
        <v>5829</v>
      </c>
      <c r="BO308">
        <v>6246</v>
      </c>
      <c r="BP308">
        <v>6607</v>
      </c>
      <c r="BQ308">
        <v>6944</v>
      </c>
      <c r="BR308">
        <v>7229</v>
      </c>
      <c r="BS308">
        <v>7508</v>
      </c>
      <c r="BT308">
        <v>7745</v>
      </c>
      <c r="BU308">
        <v>7934</v>
      </c>
      <c r="BV308">
        <v>8087</v>
      </c>
      <c r="BW308">
        <v>8222</v>
      </c>
      <c r="BX308">
        <v>8321</v>
      </c>
      <c r="BY308">
        <v>8424</v>
      </c>
      <c r="BZ308">
        <v>8513</v>
      </c>
      <c r="CA308">
        <v>8583</v>
      </c>
      <c r="CB308">
        <v>8650</v>
      </c>
      <c r="CC308">
        <v>8699</v>
      </c>
      <c r="CD308">
        <v>8735</v>
      </c>
      <c r="CE308">
        <v>8748</v>
      </c>
      <c r="CF308">
        <v>8757</v>
      </c>
      <c r="CG308">
        <v>8760</v>
      </c>
      <c r="CH308">
        <v>8760</v>
      </c>
      <c r="CI308">
        <v>8760</v>
      </c>
      <c r="CJ308">
        <v>8760</v>
      </c>
      <c r="CK308">
        <v>8760</v>
      </c>
      <c r="CL308">
        <v>8760</v>
      </c>
      <c r="CM308">
        <v>8760</v>
      </c>
      <c r="CN308">
        <v>8760</v>
      </c>
      <c r="CO308">
        <v>8760</v>
      </c>
      <c r="CP308">
        <v>8760</v>
      </c>
      <c r="CQ308">
        <v>8760</v>
      </c>
      <c r="CR308">
        <v>8760</v>
      </c>
      <c r="CS308">
        <v>8760</v>
      </c>
      <c r="CT308">
        <v>8760</v>
      </c>
      <c r="CU308">
        <v>8760</v>
      </c>
      <c r="CV308">
        <v>8760</v>
      </c>
      <c r="CW308">
        <v>8760</v>
      </c>
      <c r="CX308">
        <v>8760</v>
      </c>
      <c r="CY308">
        <v>8760</v>
      </c>
      <c r="CZ308">
        <v>8760</v>
      </c>
      <c r="DA308">
        <v>8760</v>
      </c>
      <c r="DB308">
        <v>8760</v>
      </c>
    </row>
    <row r="309" spans="1:106" x14ac:dyDescent="0.25">
      <c r="A309" s="13" t="s">
        <v>326</v>
      </c>
      <c r="B309" t="s">
        <v>312</v>
      </c>
      <c r="C309" t="s">
        <v>438</v>
      </c>
      <c r="D309" t="s">
        <v>957</v>
      </c>
      <c r="E309" t="s">
        <v>958</v>
      </c>
      <c r="F309">
        <v>102405</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1</v>
      </c>
      <c r="AK309">
        <v>3</v>
      </c>
      <c r="AL309">
        <v>5</v>
      </c>
      <c r="AM309">
        <v>10</v>
      </c>
      <c r="AN309">
        <v>11</v>
      </c>
      <c r="AO309">
        <v>13</v>
      </c>
      <c r="AP309">
        <v>20</v>
      </c>
      <c r="AQ309">
        <v>39</v>
      </c>
      <c r="AR309">
        <v>63</v>
      </c>
      <c r="AS309">
        <v>91</v>
      </c>
      <c r="AT309">
        <v>128</v>
      </c>
      <c r="AU309">
        <v>176</v>
      </c>
      <c r="AV309">
        <v>237</v>
      </c>
      <c r="AW309">
        <v>292</v>
      </c>
      <c r="AX309">
        <v>354</v>
      </c>
      <c r="AY309">
        <v>472</v>
      </c>
      <c r="AZ309">
        <v>611</v>
      </c>
      <c r="BA309">
        <v>785</v>
      </c>
      <c r="BB309">
        <v>991</v>
      </c>
      <c r="BC309">
        <v>1251</v>
      </c>
      <c r="BD309">
        <v>1564</v>
      </c>
      <c r="BE309">
        <v>1980</v>
      </c>
      <c r="BF309">
        <v>2357</v>
      </c>
      <c r="BG309">
        <v>2767</v>
      </c>
      <c r="BH309">
        <v>3185</v>
      </c>
      <c r="BI309">
        <v>3652</v>
      </c>
      <c r="BJ309">
        <v>4055</v>
      </c>
      <c r="BK309">
        <v>4420</v>
      </c>
      <c r="BL309">
        <v>4742</v>
      </c>
      <c r="BM309">
        <v>5066</v>
      </c>
      <c r="BN309">
        <v>5439</v>
      </c>
      <c r="BO309">
        <v>5773</v>
      </c>
      <c r="BP309">
        <v>6134</v>
      </c>
      <c r="BQ309">
        <v>6449</v>
      </c>
      <c r="BR309">
        <v>6764</v>
      </c>
      <c r="BS309">
        <v>7131</v>
      </c>
      <c r="BT309">
        <v>7468</v>
      </c>
      <c r="BU309">
        <v>7710</v>
      </c>
      <c r="BV309">
        <v>7910</v>
      </c>
      <c r="BW309">
        <v>8090</v>
      </c>
      <c r="BX309">
        <v>8256</v>
      </c>
      <c r="BY309">
        <v>8373</v>
      </c>
      <c r="BZ309">
        <v>8460</v>
      </c>
      <c r="CA309">
        <v>8539</v>
      </c>
      <c r="CB309">
        <v>8607</v>
      </c>
      <c r="CC309">
        <v>8663</v>
      </c>
      <c r="CD309">
        <v>8705</v>
      </c>
      <c r="CE309">
        <v>8726</v>
      </c>
      <c r="CF309">
        <v>8740</v>
      </c>
      <c r="CG309">
        <v>8751</v>
      </c>
      <c r="CH309">
        <v>8759</v>
      </c>
      <c r="CI309">
        <v>8760</v>
      </c>
      <c r="CJ309">
        <v>8760</v>
      </c>
      <c r="CK309">
        <v>8760</v>
      </c>
      <c r="CL309">
        <v>8760</v>
      </c>
      <c r="CM309">
        <v>8760</v>
      </c>
      <c r="CN309">
        <v>8760</v>
      </c>
      <c r="CO309">
        <v>8760</v>
      </c>
      <c r="CP309">
        <v>8760</v>
      </c>
      <c r="CQ309">
        <v>8760</v>
      </c>
      <c r="CR309">
        <v>8760</v>
      </c>
      <c r="CS309">
        <v>8760</v>
      </c>
      <c r="CT309">
        <v>8760</v>
      </c>
      <c r="CU309">
        <v>8760</v>
      </c>
      <c r="CV309">
        <v>8760</v>
      </c>
      <c r="CW309">
        <v>8760</v>
      </c>
      <c r="CX309">
        <v>8760</v>
      </c>
      <c r="CY309">
        <v>8760</v>
      </c>
      <c r="CZ309">
        <v>8760</v>
      </c>
      <c r="DA309">
        <v>8760</v>
      </c>
      <c r="DB309">
        <v>8760</v>
      </c>
    </row>
    <row r="310" spans="1:106" x14ac:dyDescent="0.25">
      <c r="A310" s="13" t="s">
        <v>327</v>
      </c>
      <c r="B310" t="s">
        <v>313</v>
      </c>
      <c r="C310" t="s">
        <v>438</v>
      </c>
      <c r="D310" t="s">
        <v>959</v>
      </c>
      <c r="E310" t="s">
        <v>960</v>
      </c>
      <c r="F310">
        <v>102649</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4</v>
      </c>
      <c r="AN310">
        <v>7</v>
      </c>
      <c r="AO310">
        <v>15</v>
      </c>
      <c r="AP310">
        <v>44</v>
      </c>
      <c r="AQ310">
        <v>74</v>
      </c>
      <c r="AR310">
        <v>109</v>
      </c>
      <c r="AS310">
        <v>150</v>
      </c>
      <c r="AT310">
        <v>189</v>
      </c>
      <c r="AU310">
        <v>239</v>
      </c>
      <c r="AV310">
        <v>299</v>
      </c>
      <c r="AW310">
        <v>386</v>
      </c>
      <c r="AX310">
        <v>503</v>
      </c>
      <c r="AY310">
        <v>667</v>
      </c>
      <c r="AZ310">
        <v>891</v>
      </c>
      <c r="BA310">
        <v>1113</v>
      </c>
      <c r="BB310">
        <v>1346</v>
      </c>
      <c r="BC310">
        <v>1615</v>
      </c>
      <c r="BD310">
        <v>1927</v>
      </c>
      <c r="BE310">
        <v>2394</v>
      </c>
      <c r="BF310">
        <v>2849</v>
      </c>
      <c r="BG310">
        <v>3238</v>
      </c>
      <c r="BH310">
        <v>3583</v>
      </c>
      <c r="BI310">
        <v>3939</v>
      </c>
      <c r="BJ310">
        <v>4318</v>
      </c>
      <c r="BK310">
        <v>4619</v>
      </c>
      <c r="BL310">
        <v>4886</v>
      </c>
      <c r="BM310">
        <v>5148</v>
      </c>
      <c r="BN310">
        <v>5446</v>
      </c>
      <c r="BO310">
        <v>5776</v>
      </c>
      <c r="BP310">
        <v>6106</v>
      </c>
      <c r="BQ310">
        <v>6434</v>
      </c>
      <c r="BR310">
        <v>6797</v>
      </c>
      <c r="BS310">
        <v>7120</v>
      </c>
      <c r="BT310">
        <v>7430</v>
      </c>
      <c r="BU310">
        <v>7682</v>
      </c>
      <c r="BV310">
        <v>7902</v>
      </c>
      <c r="BW310">
        <v>8097</v>
      </c>
      <c r="BX310">
        <v>8278</v>
      </c>
      <c r="BY310">
        <v>8424</v>
      </c>
      <c r="BZ310">
        <v>8519</v>
      </c>
      <c r="CA310">
        <v>8589</v>
      </c>
      <c r="CB310">
        <v>8647</v>
      </c>
      <c r="CC310">
        <v>8692</v>
      </c>
      <c r="CD310">
        <v>8714</v>
      </c>
      <c r="CE310">
        <v>8732</v>
      </c>
      <c r="CF310">
        <v>8747</v>
      </c>
      <c r="CG310">
        <v>8756</v>
      </c>
      <c r="CH310">
        <v>8760</v>
      </c>
      <c r="CI310">
        <v>8760</v>
      </c>
      <c r="CJ310">
        <v>8760</v>
      </c>
      <c r="CK310">
        <v>8760</v>
      </c>
      <c r="CL310">
        <v>8760</v>
      </c>
      <c r="CM310">
        <v>8760</v>
      </c>
      <c r="CN310">
        <v>8760</v>
      </c>
      <c r="CO310">
        <v>8760</v>
      </c>
      <c r="CP310">
        <v>8760</v>
      </c>
      <c r="CQ310">
        <v>8760</v>
      </c>
      <c r="CR310">
        <v>8760</v>
      </c>
      <c r="CS310">
        <v>8760</v>
      </c>
      <c r="CT310">
        <v>8760</v>
      </c>
      <c r="CU310">
        <v>8760</v>
      </c>
      <c r="CV310">
        <v>8760</v>
      </c>
      <c r="CW310">
        <v>8760</v>
      </c>
      <c r="CX310">
        <v>8760</v>
      </c>
      <c r="CY310">
        <v>8760</v>
      </c>
      <c r="CZ310">
        <v>8760</v>
      </c>
      <c r="DA310">
        <v>8760</v>
      </c>
      <c r="DB310">
        <v>8760</v>
      </c>
    </row>
    <row r="311" spans="1:106" x14ac:dyDescent="0.25">
      <c r="A311" s="13" t="s">
        <v>328</v>
      </c>
      <c r="B311" t="s">
        <v>316</v>
      </c>
      <c r="C311" t="s">
        <v>438</v>
      </c>
      <c r="D311" t="s">
        <v>961</v>
      </c>
      <c r="E311" t="s">
        <v>962</v>
      </c>
      <c r="F311">
        <v>102705</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3</v>
      </c>
      <c r="AF311">
        <v>9</v>
      </c>
      <c r="AG311">
        <v>14</v>
      </c>
      <c r="AH311">
        <v>18</v>
      </c>
      <c r="AI311">
        <v>33</v>
      </c>
      <c r="AJ311">
        <v>40</v>
      </c>
      <c r="AK311">
        <v>65</v>
      </c>
      <c r="AL311">
        <v>92</v>
      </c>
      <c r="AM311">
        <v>121</v>
      </c>
      <c r="AN311">
        <v>155</v>
      </c>
      <c r="AO311">
        <v>182</v>
      </c>
      <c r="AP311">
        <v>228</v>
      </c>
      <c r="AQ311">
        <v>294</v>
      </c>
      <c r="AR311">
        <v>370</v>
      </c>
      <c r="AS311">
        <v>477</v>
      </c>
      <c r="AT311">
        <v>582</v>
      </c>
      <c r="AU311">
        <v>701</v>
      </c>
      <c r="AV311">
        <v>842</v>
      </c>
      <c r="AW311">
        <v>963</v>
      </c>
      <c r="AX311">
        <v>1111</v>
      </c>
      <c r="AY311">
        <v>1273</v>
      </c>
      <c r="AZ311">
        <v>1495</v>
      </c>
      <c r="BA311">
        <v>1775</v>
      </c>
      <c r="BB311">
        <v>2087</v>
      </c>
      <c r="BC311">
        <v>2402</v>
      </c>
      <c r="BD311">
        <v>2753</v>
      </c>
      <c r="BE311">
        <v>3141</v>
      </c>
      <c r="BF311">
        <v>3506</v>
      </c>
      <c r="BG311">
        <v>3843</v>
      </c>
      <c r="BH311">
        <v>4139</v>
      </c>
      <c r="BI311">
        <v>4492</v>
      </c>
      <c r="BJ311">
        <v>4843</v>
      </c>
      <c r="BK311">
        <v>5209</v>
      </c>
      <c r="BL311">
        <v>5541</v>
      </c>
      <c r="BM311">
        <v>5862</v>
      </c>
      <c r="BN311">
        <v>6170</v>
      </c>
      <c r="BO311">
        <v>6503</v>
      </c>
      <c r="BP311">
        <v>6835</v>
      </c>
      <c r="BQ311">
        <v>7109</v>
      </c>
      <c r="BR311">
        <v>7368</v>
      </c>
      <c r="BS311">
        <v>7623</v>
      </c>
      <c r="BT311">
        <v>7837</v>
      </c>
      <c r="BU311">
        <v>8017</v>
      </c>
      <c r="BV311">
        <v>8185</v>
      </c>
      <c r="BW311">
        <v>8313</v>
      </c>
      <c r="BX311">
        <v>8428</v>
      </c>
      <c r="BY311">
        <v>8517</v>
      </c>
      <c r="BZ311">
        <v>8589</v>
      </c>
      <c r="CA311">
        <v>8627</v>
      </c>
      <c r="CB311">
        <v>8665</v>
      </c>
      <c r="CC311">
        <v>8695</v>
      </c>
      <c r="CD311">
        <v>8723</v>
      </c>
      <c r="CE311">
        <v>8742</v>
      </c>
      <c r="CF311">
        <v>8756</v>
      </c>
      <c r="CG311">
        <v>8760</v>
      </c>
      <c r="CH311">
        <v>8760</v>
      </c>
      <c r="CI311">
        <v>8760</v>
      </c>
      <c r="CJ311">
        <v>8760</v>
      </c>
      <c r="CK311">
        <v>8760</v>
      </c>
      <c r="CL311">
        <v>8760</v>
      </c>
      <c r="CM311">
        <v>8760</v>
      </c>
      <c r="CN311">
        <v>8760</v>
      </c>
      <c r="CO311">
        <v>8760</v>
      </c>
      <c r="CP311">
        <v>8760</v>
      </c>
      <c r="CQ311">
        <v>8760</v>
      </c>
      <c r="CR311">
        <v>8760</v>
      </c>
      <c r="CS311">
        <v>8760</v>
      </c>
      <c r="CT311">
        <v>8760</v>
      </c>
      <c r="CU311">
        <v>8760</v>
      </c>
      <c r="CV311">
        <v>8760</v>
      </c>
      <c r="CW311">
        <v>8760</v>
      </c>
      <c r="CX311">
        <v>8760</v>
      </c>
      <c r="CY311">
        <v>8760</v>
      </c>
      <c r="CZ311">
        <v>8760</v>
      </c>
      <c r="DA311">
        <v>8760</v>
      </c>
      <c r="DB311">
        <v>8760</v>
      </c>
    </row>
    <row r="312" spans="1:106" x14ac:dyDescent="0.25">
      <c r="A312" s="13" t="s">
        <v>329</v>
      </c>
      <c r="B312" t="s">
        <v>317</v>
      </c>
      <c r="C312" t="s">
        <v>438</v>
      </c>
      <c r="D312" t="s">
        <v>963</v>
      </c>
      <c r="E312" t="s">
        <v>964</v>
      </c>
      <c r="F312">
        <v>102523</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1</v>
      </c>
      <c r="AI312">
        <v>6</v>
      </c>
      <c r="AJ312">
        <v>11</v>
      </c>
      <c r="AK312">
        <v>15</v>
      </c>
      <c r="AL312">
        <v>22</v>
      </c>
      <c r="AM312">
        <v>41</v>
      </c>
      <c r="AN312">
        <v>51</v>
      </c>
      <c r="AO312">
        <v>69</v>
      </c>
      <c r="AP312">
        <v>88</v>
      </c>
      <c r="AQ312">
        <v>119</v>
      </c>
      <c r="AR312">
        <v>155</v>
      </c>
      <c r="AS312">
        <v>186</v>
      </c>
      <c r="AT312">
        <v>216</v>
      </c>
      <c r="AU312">
        <v>258</v>
      </c>
      <c r="AV312">
        <v>331</v>
      </c>
      <c r="AW312">
        <v>387</v>
      </c>
      <c r="AX312">
        <v>458</v>
      </c>
      <c r="AY312">
        <v>541</v>
      </c>
      <c r="AZ312">
        <v>672</v>
      </c>
      <c r="BA312">
        <v>799</v>
      </c>
      <c r="BB312">
        <v>1005</v>
      </c>
      <c r="BC312">
        <v>1251</v>
      </c>
      <c r="BD312">
        <v>1606</v>
      </c>
      <c r="BE312">
        <v>2039</v>
      </c>
      <c r="BF312">
        <v>2462</v>
      </c>
      <c r="BG312">
        <v>2836</v>
      </c>
      <c r="BH312">
        <v>3248</v>
      </c>
      <c r="BI312">
        <v>3610</v>
      </c>
      <c r="BJ312">
        <v>3991</v>
      </c>
      <c r="BK312">
        <v>4359</v>
      </c>
      <c r="BL312">
        <v>4732</v>
      </c>
      <c r="BM312">
        <v>5184</v>
      </c>
      <c r="BN312">
        <v>5620</v>
      </c>
      <c r="BO312">
        <v>6018</v>
      </c>
      <c r="BP312">
        <v>6399</v>
      </c>
      <c r="BQ312">
        <v>6747</v>
      </c>
      <c r="BR312">
        <v>7091</v>
      </c>
      <c r="BS312">
        <v>7397</v>
      </c>
      <c r="BT312">
        <v>7673</v>
      </c>
      <c r="BU312">
        <v>7919</v>
      </c>
      <c r="BV312">
        <v>8161</v>
      </c>
      <c r="BW312">
        <v>8334</v>
      </c>
      <c r="BX312">
        <v>8452</v>
      </c>
      <c r="BY312">
        <v>8541</v>
      </c>
      <c r="BZ312">
        <v>8618</v>
      </c>
      <c r="CA312">
        <v>8656</v>
      </c>
      <c r="CB312">
        <v>8692</v>
      </c>
      <c r="CC312">
        <v>8722</v>
      </c>
      <c r="CD312">
        <v>8744</v>
      </c>
      <c r="CE312">
        <v>8755</v>
      </c>
      <c r="CF312">
        <v>8760</v>
      </c>
      <c r="CG312">
        <v>8760</v>
      </c>
      <c r="CH312">
        <v>8760</v>
      </c>
      <c r="CI312">
        <v>8760</v>
      </c>
      <c r="CJ312">
        <v>8760</v>
      </c>
      <c r="CK312">
        <v>8760</v>
      </c>
      <c r="CL312">
        <v>8760</v>
      </c>
      <c r="CM312">
        <v>8760</v>
      </c>
      <c r="CN312">
        <v>8760</v>
      </c>
      <c r="CO312">
        <v>8760</v>
      </c>
      <c r="CP312">
        <v>8760</v>
      </c>
      <c r="CQ312">
        <v>8760</v>
      </c>
      <c r="CR312">
        <v>8760</v>
      </c>
      <c r="CS312">
        <v>8760</v>
      </c>
      <c r="CT312">
        <v>8760</v>
      </c>
      <c r="CU312">
        <v>8760</v>
      </c>
      <c r="CV312">
        <v>8760</v>
      </c>
      <c r="CW312">
        <v>8760</v>
      </c>
      <c r="CX312">
        <v>8760</v>
      </c>
      <c r="CY312">
        <v>8760</v>
      </c>
      <c r="CZ312">
        <v>8760</v>
      </c>
      <c r="DA312">
        <v>8760</v>
      </c>
      <c r="DB312">
        <v>8760</v>
      </c>
    </row>
    <row r="313" spans="1:106" x14ac:dyDescent="0.25">
      <c r="A313" s="13" t="s">
        <v>330</v>
      </c>
      <c r="B313" t="s">
        <v>318</v>
      </c>
      <c r="C313" t="s">
        <v>438</v>
      </c>
      <c r="D313" t="s">
        <v>965</v>
      </c>
      <c r="E313" t="s">
        <v>966</v>
      </c>
      <c r="F313">
        <v>102314</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v>0</v>
      </c>
      <c r="AS313">
        <v>7</v>
      </c>
      <c r="AT313">
        <v>21</v>
      </c>
      <c r="AU313">
        <v>47</v>
      </c>
      <c r="AV313">
        <v>55</v>
      </c>
      <c r="AW313">
        <v>79</v>
      </c>
      <c r="AX313">
        <v>133</v>
      </c>
      <c r="AY313">
        <v>211</v>
      </c>
      <c r="AZ313">
        <v>338</v>
      </c>
      <c r="BA313">
        <v>477</v>
      </c>
      <c r="BB313">
        <v>628</v>
      </c>
      <c r="BC313">
        <v>830</v>
      </c>
      <c r="BD313">
        <v>1119</v>
      </c>
      <c r="BE313">
        <v>1550</v>
      </c>
      <c r="BF313">
        <v>2043</v>
      </c>
      <c r="BG313">
        <v>2524</v>
      </c>
      <c r="BH313">
        <v>3020</v>
      </c>
      <c r="BI313">
        <v>3384</v>
      </c>
      <c r="BJ313">
        <v>3695</v>
      </c>
      <c r="BK313">
        <v>4004</v>
      </c>
      <c r="BL313">
        <v>4371</v>
      </c>
      <c r="BM313">
        <v>4698</v>
      </c>
      <c r="BN313">
        <v>5001</v>
      </c>
      <c r="BO313">
        <v>5343</v>
      </c>
      <c r="BP313">
        <v>5695</v>
      </c>
      <c r="BQ313">
        <v>6131</v>
      </c>
      <c r="BR313">
        <v>6587</v>
      </c>
      <c r="BS313">
        <v>7065</v>
      </c>
      <c r="BT313">
        <v>7517</v>
      </c>
      <c r="BU313">
        <v>7853</v>
      </c>
      <c r="BV313">
        <v>8147</v>
      </c>
      <c r="BW313">
        <v>8357</v>
      </c>
      <c r="BX313">
        <v>8517</v>
      </c>
      <c r="BY313">
        <v>8630</v>
      </c>
      <c r="BZ313">
        <v>8699</v>
      </c>
      <c r="CA313">
        <v>8728</v>
      </c>
      <c r="CB313">
        <v>8741</v>
      </c>
      <c r="CC313">
        <v>8749</v>
      </c>
      <c r="CD313">
        <v>8754</v>
      </c>
      <c r="CE313">
        <v>8755</v>
      </c>
      <c r="CF313">
        <v>8760</v>
      </c>
      <c r="CG313">
        <v>8760</v>
      </c>
      <c r="CH313">
        <v>8760</v>
      </c>
      <c r="CI313">
        <v>8760</v>
      </c>
      <c r="CJ313">
        <v>8760</v>
      </c>
      <c r="CK313">
        <v>8760</v>
      </c>
      <c r="CL313">
        <v>8760</v>
      </c>
      <c r="CM313">
        <v>8760</v>
      </c>
      <c r="CN313">
        <v>8760</v>
      </c>
      <c r="CO313">
        <v>8760</v>
      </c>
      <c r="CP313">
        <v>8760</v>
      </c>
      <c r="CQ313">
        <v>8760</v>
      </c>
      <c r="CR313">
        <v>8760</v>
      </c>
      <c r="CS313">
        <v>8760</v>
      </c>
      <c r="CT313">
        <v>8760</v>
      </c>
      <c r="CU313">
        <v>8760</v>
      </c>
      <c r="CV313">
        <v>8760</v>
      </c>
      <c r="CW313">
        <v>8760</v>
      </c>
      <c r="CX313">
        <v>8760</v>
      </c>
      <c r="CY313">
        <v>8760</v>
      </c>
      <c r="CZ313">
        <v>8760</v>
      </c>
      <c r="DA313">
        <v>8760</v>
      </c>
      <c r="DB313">
        <v>8760</v>
      </c>
    </row>
    <row r="314" spans="1:106" x14ac:dyDescent="0.25">
      <c r="A314" s="13" t="s">
        <v>331</v>
      </c>
      <c r="B314" t="s">
        <v>967</v>
      </c>
      <c r="C314" t="s">
        <v>438</v>
      </c>
      <c r="D314" t="s">
        <v>968</v>
      </c>
      <c r="E314" t="s">
        <v>969</v>
      </c>
      <c r="F314">
        <v>102614</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1</v>
      </c>
      <c r="AP314">
        <v>4</v>
      </c>
      <c r="AQ314">
        <v>13</v>
      </c>
      <c r="AR314">
        <v>41</v>
      </c>
      <c r="AS314">
        <v>77</v>
      </c>
      <c r="AT314">
        <v>114</v>
      </c>
      <c r="AU314">
        <v>148</v>
      </c>
      <c r="AV314">
        <v>206</v>
      </c>
      <c r="AW314">
        <v>255</v>
      </c>
      <c r="AX314">
        <v>318</v>
      </c>
      <c r="AY314">
        <v>409</v>
      </c>
      <c r="AZ314">
        <v>556</v>
      </c>
      <c r="BA314">
        <v>744</v>
      </c>
      <c r="BB314">
        <v>1001</v>
      </c>
      <c r="BC314">
        <v>1365</v>
      </c>
      <c r="BD314">
        <v>1770</v>
      </c>
      <c r="BE314">
        <v>2288</v>
      </c>
      <c r="BF314">
        <v>2685</v>
      </c>
      <c r="BG314">
        <v>3147</v>
      </c>
      <c r="BH314">
        <v>3556</v>
      </c>
      <c r="BI314">
        <v>3881</v>
      </c>
      <c r="BJ314">
        <v>4167</v>
      </c>
      <c r="BK314">
        <v>4462</v>
      </c>
      <c r="BL314">
        <v>4752</v>
      </c>
      <c r="BM314">
        <v>5086</v>
      </c>
      <c r="BN314">
        <v>5418</v>
      </c>
      <c r="BO314">
        <v>5724</v>
      </c>
      <c r="BP314">
        <v>6044</v>
      </c>
      <c r="BQ314">
        <v>6407</v>
      </c>
      <c r="BR314">
        <v>6845</v>
      </c>
      <c r="BS314">
        <v>7243</v>
      </c>
      <c r="BT314">
        <v>7591</v>
      </c>
      <c r="BU314">
        <v>7857</v>
      </c>
      <c r="BV314">
        <v>8096</v>
      </c>
      <c r="BW314">
        <v>8285</v>
      </c>
      <c r="BX314">
        <v>8445</v>
      </c>
      <c r="BY314">
        <v>8575</v>
      </c>
      <c r="BZ314">
        <v>8662</v>
      </c>
      <c r="CA314">
        <v>8714</v>
      </c>
      <c r="CB314">
        <v>8746</v>
      </c>
      <c r="CC314">
        <v>8758</v>
      </c>
      <c r="CD314">
        <v>8760</v>
      </c>
      <c r="CE314">
        <v>8760</v>
      </c>
      <c r="CF314">
        <v>8760</v>
      </c>
      <c r="CG314">
        <v>8760</v>
      </c>
      <c r="CH314">
        <v>8760</v>
      </c>
      <c r="CI314">
        <v>8760</v>
      </c>
      <c r="CJ314">
        <v>8760</v>
      </c>
      <c r="CK314">
        <v>8760</v>
      </c>
      <c r="CL314">
        <v>8760</v>
      </c>
      <c r="CM314">
        <v>8760</v>
      </c>
      <c r="CN314">
        <v>8760</v>
      </c>
      <c r="CO314">
        <v>8760</v>
      </c>
      <c r="CP314">
        <v>8760</v>
      </c>
      <c r="CQ314">
        <v>8760</v>
      </c>
      <c r="CR314">
        <v>8760</v>
      </c>
      <c r="CS314">
        <v>8760</v>
      </c>
      <c r="CT314">
        <v>8760</v>
      </c>
      <c r="CU314">
        <v>8760</v>
      </c>
      <c r="CV314">
        <v>8760</v>
      </c>
      <c r="CW314">
        <v>8760</v>
      </c>
      <c r="CX314">
        <v>8760</v>
      </c>
      <c r="CY314">
        <v>8760</v>
      </c>
      <c r="CZ314">
        <v>8760</v>
      </c>
      <c r="DA314">
        <v>8760</v>
      </c>
      <c r="DB314">
        <v>8760</v>
      </c>
    </row>
    <row r="315" spans="1:106" x14ac:dyDescent="0.25">
      <c r="A315" s="13" t="s">
        <v>332</v>
      </c>
      <c r="B315" t="s">
        <v>325</v>
      </c>
      <c r="C315" t="s">
        <v>438</v>
      </c>
      <c r="D315" t="s">
        <v>970</v>
      </c>
      <c r="E315" t="s">
        <v>971</v>
      </c>
      <c r="F315">
        <v>102323</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9</v>
      </c>
      <c r="AL315">
        <v>12</v>
      </c>
      <c r="AM315">
        <v>17</v>
      </c>
      <c r="AN315">
        <v>38</v>
      </c>
      <c r="AO315">
        <v>63</v>
      </c>
      <c r="AP315">
        <v>81</v>
      </c>
      <c r="AQ315">
        <v>105</v>
      </c>
      <c r="AR315">
        <v>157</v>
      </c>
      <c r="AS315">
        <v>214</v>
      </c>
      <c r="AT315">
        <v>272</v>
      </c>
      <c r="AU315">
        <v>336</v>
      </c>
      <c r="AV315">
        <v>456</v>
      </c>
      <c r="AW315">
        <v>533</v>
      </c>
      <c r="AX315">
        <v>650</v>
      </c>
      <c r="AY315">
        <v>788</v>
      </c>
      <c r="AZ315">
        <v>924</v>
      </c>
      <c r="BA315">
        <v>1112</v>
      </c>
      <c r="BB315">
        <v>1312</v>
      </c>
      <c r="BC315">
        <v>1530</v>
      </c>
      <c r="BD315">
        <v>1845</v>
      </c>
      <c r="BE315">
        <v>2253</v>
      </c>
      <c r="BF315">
        <v>2716</v>
      </c>
      <c r="BG315">
        <v>3097</v>
      </c>
      <c r="BH315">
        <v>3565</v>
      </c>
      <c r="BI315">
        <v>3951</v>
      </c>
      <c r="BJ315">
        <v>4349</v>
      </c>
      <c r="BK315">
        <v>4692</v>
      </c>
      <c r="BL315">
        <v>5079</v>
      </c>
      <c r="BM315">
        <v>5431</v>
      </c>
      <c r="BN315">
        <v>5817</v>
      </c>
      <c r="BO315">
        <v>6214</v>
      </c>
      <c r="BP315">
        <v>6596</v>
      </c>
      <c r="BQ315">
        <v>6924</v>
      </c>
      <c r="BR315">
        <v>7243</v>
      </c>
      <c r="BS315">
        <v>7549</v>
      </c>
      <c r="BT315">
        <v>7809</v>
      </c>
      <c r="BU315">
        <v>8018</v>
      </c>
      <c r="BV315">
        <v>8192</v>
      </c>
      <c r="BW315">
        <v>8341</v>
      </c>
      <c r="BX315">
        <v>8454</v>
      </c>
      <c r="BY315">
        <v>8539</v>
      </c>
      <c r="BZ315">
        <v>8598</v>
      </c>
      <c r="CA315">
        <v>8633</v>
      </c>
      <c r="CB315">
        <v>8681</v>
      </c>
      <c r="CC315">
        <v>8711</v>
      </c>
      <c r="CD315">
        <v>8743</v>
      </c>
      <c r="CE315">
        <v>8753</v>
      </c>
      <c r="CF315">
        <v>8759</v>
      </c>
      <c r="CG315">
        <v>8760</v>
      </c>
      <c r="CH315">
        <v>8760</v>
      </c>
      <c r="CI315">
        <v>8760</v>
      </c>
      <c r="CJ315">
        <v>8760</v>
      </c>
      <c r="CK315">
        <v>8760</v>
      </c>
      <c r="CL315">
        <v>8760</v>
      </c>
      <c r="CM315">
        <v>8760</v>
      </c>
      <c r="CN315">
        <v>8760</v>
      </c>
      <c r="CO315">
        <v>8760</v>
      </c>
      <c r="CP315">
        <v>8760</v>
      </c>
      <c r="CQ315">
        <v>8760</v>
      </c>
      <c r="CR315">
        <v>8760</v>
      </c>
      <c r="CS315">
        <v>8760</v>
      </c>
      <c r="CT315">
        <v>8760</v>
      </c>
      <c r="CU315">
        <v>8760</v>
      </c>
      <c r="CV315">
        <v>8760</v>
      </c>
      <c r="CW315">
        <v>8760</v>
      </c>
      <c r="CX315">
        <v>8760</v>
      </c>
      <c r="CY315">
        <v>8760</v>
      </c>
      <c r="CZ315">
        <v>8760</v>
      </c>
      <c r="DA315">
        <v>8760</v>
      </c>
      <c r="DB315">
        <v>8760</v>
      </c>
    </row>
    <row r="316" spans="1:106" x14ac:dyDescent="0.25">
      <c r="B316" t="s">
        <v>326</v>
      </c>
      <c r="C316" t="s">
        <v>438</v>
      </c>
      <c r="D316" t="s">
        <v>972</v>
      </c>
      <c r="E316" t="s">
        <v>973</v>
      </c>
      <c r="F316">
        <v>102902</v>
      </c>
      <c r="G316">
        <v>0</v>
      </c>
      <c r="H316">
        <v>0</v>
      </c>
      <c r="I316">
        <v>0</v>
      </c>
      <c r="J316">
        <v>0</v>
      </c>
      <c r="K316">
        <v>0</v>
      </c>
      <c r="L316">
        <v>0</v>
      </c>
      <c r="M316">
        <v>0</v>
      </c>
      <c r="N316">
        <v>0</v>
      </c>
      <c r="O316">
        <v>0</v>
      </c>
      <c r="P316">
        <v>0</v>
      </c>
      <c r="Q316">
        <v>0</v>
      </c>
      <c r="R316">
        <v>0</v>
      </c>
      <c r="S316">
        <v>0</v>
      </c>
      <c r="T316">
        <v>0</v>
      </c>
      <c r="U316">
        <v>3</v>
      </c>
      <c r="V316">
        <v>11</v>
      </c>
      <c r="W316">
        <v>17</v>
      </c>
      <c r="X316">
        <v>27</v>
      </c>
      <c r="Y316">
        <v>37</v>
      </c>
      <c r="Z316">
        <v>53</v>
      </c>
      <c r="AA316">
        <v>67</v>
      </c>
      <c r="AB316">
        <v>83</v>
      </c>
      <c r="AC316">
        <v>101</v>
      </c>
      <c r="AD316">
        <v>119</v>
      </c>
      <c r="AE316">
        <v>141</v>
      </c>
      <c r="AF316">
        <v>159</v>
      </c>
      <c r="AG316">
        <v>182</v>
      </c>
      <c r="AH316">
        <v>211</v>
      </c>
      <c r="AI316">
        <v>247</v>
      </c>
      <c r="AJ316">
        <v>293</v>
      </c>
      <c r="AK316">
        <v>354</v>
      </c>
      <c r="AL316">
        <v>429</v>
      </c>
      <c r="AM316">
        <v>502</v>
      </c>
      <c r="AN316">
        <v>565</v>
      </c>
      <c r="AO316">
        <v>636</v>
      </c>
      <c r="AP316">
        <v>711</v>
      </c>
      <c r="AQ316">
        <v>819</v>
      </c>
      <c r="AR316">
        <v>903</v>
      </c>
      <c r="AS316">
        <v>1002</v>
      </c>
      <c r="AT316">
        <v>1111</v>
      </c>
      <c r="AU316">
        <v>1243</v>
      </c>
      <c r="AV316">
        <v>1406</v>
      </c>
      <c r="AW316">
        <v>1600</v>
      </c>
      <c r="AX316">
        <v>1873</v>
      </c>
      <c r="AY316">
        <v>2143</v>
      </c>
      <c r="AZ316">
        <v>2492</v>
      </c>
      <c r="BA316">
        <v>2839</v>
      </c>
      <c r="BB316">
        <v>3184</v>
      </c>
      <c r="BC316">
        <v>3502</v>
      </c>
      <c r="BD316">
        <v>3871</v>
      </c>
      <c r="BE316">
        <v>4267</v>
      </c>
      <c r="BF316">
        <v>4571</v>
      </c>
      <c r="BG316">
        <v>4861</v>
      </c>
      <c r="BH316">
        <v>5170</v>
      </c>
      <c r="BI316">
        <v>5454</v>
      </c>
      <c r="BJ316">
        <v>5722</v>
      </c>
      <c r="BK316">
        <v>6014</v>
      </c>
      <c r="BL316">
        <v>6342</v>
      </c>
      <c r="BM316">
        <v>6624</v>
      </c>
      <c r="BN316">
        <v>6941</v>
      </c>
      <c r="BO316">
        <v>7254</v>
      </c>
      <c r="BP316">
        <v>7496</v>
      </c>
      <c r="BQ316">
        <v>7780</v>
      </c>
      <c r="BR316">
        <v>7989</v>
      </c>
      <c r="BS316">
        <v>8187</v>
      </c>
      <c r="BT316">
        <v>8334</v>
      </c>
      <c r="BU316">
        <v>8459</v>
      </c>
      <c r="BV316">
        <v>8577</v>
      </c>
      <c r="BW316">
        <v>8656</v>
      </c>
      <c r="BX316">
        <v>8687</v>
      </c>
      <c r="BY316">
        <v>8707</v>
      </c>
      <c r="BZ316">
        <v>8727</v>
      </c>
      <c r="CA316">
        <v>8737</v>
      </c>
      <c r="CB316">
        <v>8740</v>
      </c>
      <c r="CC316">
        <v>8743</v>
      </c>
      <c r="CD316">
        <v>8747</v>
      </c>
      <c r="CE316">
        <v>8755</v>
      </c>
      <c r="CF316">
        <v>8760</v>
      </c>
      <c r="CG316">
        <v>8760</v>
      </c>
      <c r="CH316">
        <v>8760</v>
      </c>
      <c r="CI316">
        <v>8760</v>
      </c>
      <c r="CJ316">
        <v>8760</v>
      </c>
      <c r="CK316">
        <v>8760</v>
      </c>
      <c r="CL316">
        <v>8760</v>
      </c>
      <c r="CM316">
        <v>8760</v>
      </c>
      <c r="CN316">
        <v>8760</v>
      </c>
      <c r="CO316">
        <v>8760</v>
      </c>
      <c r="CP316">
        <v>8760</v>
      </c>
      <c r="CQ316">
        <v>8760</v>
      </c>
      <c r="CR316">
        <v>8760</v>
      </c>
      <c r="CS316">
        <v>8760</v>
      </c>
      <c r="CT316">
        <v>8760</v>
      </c>
      <c r="CU316">
        <v>8760</v>
      </c>
      <c r="CV316">
        <v>8760</v>
      </c>
      <c r="CW316">
        <v>8760</v>
      </c>
      <c r="CX316">
        <v>8760</v>
      </c>
      <c r="CY316">
        <v>8760</v>
      </c>
      <c r="CZ316">
        <v>8760</v>
      </c>
      <c r="DA316">
        <v>8760</v>
      </c>
      <c r="DB316">
        <v>8760</v>
      </c>
    </row>
    <row r="317" spans="1:106" x14ac:dyDescent="0.25">
      <c r="B317" t="s">
        <v>327</v>
      </c>
      <c r="C317" t="s">
        <v>438</v>
      </c>
      <c r="D317" t="s">
        <v>974</v>
      </c>
      <c r="E317" t="s">
        <v>975</v>
      </c>
      <c r="F317">
        <v>102327</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5</v>
      </c>
      <c r="AH317">
        <v>9</v>
      </c>
      <c r="AI317">
        <v>12</v>
      </c>
      <c r="AJ317">
        <v>13</v>
      </c>
      <c r="AK317">
        <v>20</v>
      </c>
      <c r="AL317">
        <v>25</v>
      </c>
      <c r="AM317">
        <v>29</v>
      </c>
      <c r="AN317">
        <v>36</v>
      </c>
      <c r="AO317">
        <v>59</v>
      </c>
      <c r="AP317">
        <v>68</v>
      </c>
      <c r="AQ317">
        <v>80</v>
      </c>
      <c r="AR317">
        <v>106</v>
      </c>
      <c r="AS317">
        <v>148</v>
      </c>
      <c r="AT317">
        <v>200</v>
      </c>
      <c r="AU317">
        <v>281</v>
      </c>
      <c r="AV317">
        <v>344</v>
      </c>
      <c r="AW317">
        <v>435</v>
      </c>
      <c r="AX317">
        <v>542</v>
      </c>
      <c r="AY317">
        <v>654</v>
      </c>
      <c r="AZ317">
        <v>810</v>
      </c>
      <c r="BA317">
        <v>1007</v>
      </c>
      <c r="BB317">
        <v>1217</v>
      </c>
      <c r="BC317">
        <v>1497</v>
      </c>
      <c r="BD317">
        <v>1867</v>
      </c>
      <c r="BE317">
        <v>2299</v>
      </c>
      <c r="BF317">
        <v>2645</v>
      </c>
      <c r="BG317">
        <v>3048</v>
      </c>
      <c r="BH317">
        <v>3463</v>
      </c>
      <c r="BI317">
        <v>3935</v>
      </c>
      <c r="BJ317">
        <v>4326</v>
      </c>
      <c r="BK317">
        <v>4725</v>
      </c>
      <c r="BL317">
        <v>5085</v>
      </c>
      <c r="BM317">
        <v>5418</v>
      </c>
      <c r="BN317">
        <v>5772</v>
      </c>
      <c r="BO317">
        <v>6082</v>
      </c>
      <c r="BP317">
        <v>6410</v>
      </c>
      <c r="BQ317">
        <v>6728</v>
      </c>
      <c r="BR317">
        <v>7013</v>
      </c>
      <c r="BS317">
        <v>7299</v>
      </c>
      <c r="BT317">
        <v>7552</v>
      </c>
      <c r="BU317">
        <v>7789</v>
      </c>
      <c r="BV317">
        <v>7949</v>
      </c>
      <c r="BW317">
        <v>8090</v>
      </c>
      <c r="BX317">
        <v>8227</v>
      </c>
      <c r="BY317">
        <v>8312</v>
      </c>
      <c r="BZ317">
        <v>8401</v>
      </c>
      <c r="CA317">
        <v>8499</v>
      </c>
      <c r="CB317">
        <v>8568</v>
      </c>
      <c r="CC317">
        <v>8616</v>
      </c>
      <c r="CD317">
        <v>8666</v>
      </c>
      <c r="CE317">
        <v>8711</v>
      </c>
      <c r="CF317">
        <v>8738</v>
      </c>
      <c r="CG317">
        <v>8756</v>
      </c>
      <c r="CH317">
        <v>8759</v>
      </c>
      <c r="CI317">
        <v>8760</v>
      </c>
      <c r="CJ317">
        <v>8760</v>
      </c>
      <c r="CK317">
        <v>8760</v>
      </c>
      <c r="CL317">
        <v>8760</v>
      </c>
      <c r="CM317">
        <v>8760</v>
      </c>
      <c r="CN317">
        <v>8760</v>
      </c>
      <c r="CO317">
        <v>8760</v>
      </c>
      <c r="CP317">
        <v>8760</v>
      </c>
      <c r="CQ317">
        <v>8760</v>
      </c>
      <c r="CR317">
        <v>8760</v>
      </c>
      <c r="CS317">
        <v>8760</v>
      </c>
      <c r="CT317">
        <v>8760</v>
      </c>
      <c r="CU317">
        <v>8760</v>
      </c>
      <c r="CV317">
        <v>8760</v>
      </c>
      <c r="CW317">
        <v>8760</v>
      </c>
      <c r="CX317">
        <v>8760</v>
      </c>
      <c r="CY317">
        <v>8760</v>
      </c>
      <c r="CZ317">
        <v>8760</v>
      </c>
      <c r="DA317">
        <v>8760</v>
      </c>
      <c r="DB317">
        <v>8760</v>
      </c>
    </row>
    <row r="318" spans="1:106" x14ac:dyDescent="0.25">
      <c r="B318" t="s">
        <v>328</v>
      </c>
      <c r="C318" t="s">
        <v>438</v>
      </c>
      <c r="D318" t="s">
        <v>976</v>
      </c>
      <c r="E318" t="s">
        <v>977</v>
      </c>
      <c r="F318">
        <v>102906</v>
      </c>
      <c r="G318">
        <v>0</v>
      </c>
      <c r="H318">
        <v>0</v>
      </c>
      <c r="I318">
        <v>0</v>
      </c>
      <c r="J318">
        <v>0</v>
      </c>
      <c r="K318">
        <v>0</v>
      </c>
      <c r="L318">
        <v>0</v>
      </c>
      <c r="M318">
        <v>0</v>
      </c>
      <c r="N318">
        <v>0</v>
      </c>
      <c r="O318">
        <v>0</v>
      </c>
      <c r="P318">
        <v>0</v>
      </c>
      <c r="Q318">
        <v>0</v>
      </c>
      <c r="R318">
        <v>0</v>
      </c>
      <c r="S318">
        <v>0</v>
      </c>
      <c r="T318">
        <v>0</v>
      </c>
      <c r="U318">
        <v>0</v>
      </c>
      <c r="V318">
        <v>0</v>
      </c>
      <c r="W318">
        <v>0</v>
      </c>
      <c r="X318">
        <v>0</v>
      </c>
      <c r="Y318">
        <v>0</v>
      </c>
      <c r="Z318">
        <v>0</v>
      </c>
      <c r="AA318">
        <v>4</v>
      </c>
      <c r="AB318">
        <v>7</v>
      </c>
      <c r="AC318">
        <v>9</v>
      </c>
      <c r="AD318">
        <v>20</v>
      </c>
      <c r="AE318">
        <v>37</v>
      </c>
      <c r="AF318">
        <v>60</v>
      </c>
      <c r="AG318">
        <v>86</v>
      </c>
      <c r="AH318">
        <v>111</v>
      </c>
      <c r="AI318">
        <v>140</v>
      </c>
      <c r="AJ318">
        <v>169</v>
      </c>
      <c r="AK318">
        <v>202</v>
      </c>
      <c r="AL318">
        <v>238</v>
      </c>
      <c r="AM318">
        <v>276</v>
      </c>
      <c r="AN318">
        <v>320</v>
      </c>
      <c r="AO318">
        <v>390</v>
      </c>
      <c r="AP318">
        <v>468</v>
      </c>
      <c r="AQ318">
        <v>585</v>
      </c>
      <c r="AR318">
        <v>684</v>
      </c>
      <c r="AS318">
        <v>801</v>
      </c>
      <c r="AT318">
        <v>928</v>
      </c>
      <c r="AU318">
        <v>1094</v>
      </c>
      <c r="AV318">
        <v>1253</v>
      </c>
      <c r="AW318">
        <v>1412</v>
      </c>
      <c r="AX318">
        <v>1582</v>
      </c>
      <c r="AY318">
        <v>1819</v>
      </c>
      <c r="AZ318">
        <v>2067</v>
      </c>
      <c r="BA318">
        <v>2369</v>
      </c>
      <c r="BB318">
        <v>2695</v>
      </c>
      <c r="BC318">
        <v>3044</v>
      </c>
      <c r="BD318">
        <v>3447</v>
      </c>
      <c r="BE318">
        <v>3893</v>
      </c>
      <c r="BF318">
        <v>4249</v>
      </c>
      <c r="BG318">
        <v>4561</v>
      </c>
      <c r="BH318">
        <v>4824</v>
      </c>
      <c r="BI318">
        <v>5029</v>
      </c>
      <c r="BJ318">
        <v>5257</v>
      </c>
      <c r="BK318">
        <v>5548</v>
      </c>
      <c r="BL318">
        <v>5806</v>
      </c>
      <c r="BM318">
        <v>6074</v>
      </c>
      <c r="BN318">
        <v>6327</v>
      </c>
      <c r="BO318">
        <v>6614</v>
      </c>
      <c r="BP318">
        <v>6886</v>
      </c>
      <c r="BQ318">
        <v>7193</v>
      </c>
      <c r="BR318">
        <v>7471</v>
      </c>
      <c r="BS318">
        <v>7714</v>
      </c>
      <c r="BT318">
        <v>7971</v>
      </c>
      <c r="BU318">
        <v>8183</v>
      </c>
      <c r="BV318">
        <v>8335</v>
      </c>
      <c r="BW318">
        <v>8467</v>
      </c>
      <c r="BX318">
        <v>8545</v>
      </c>
      <c r="BY318">
        <v>8609</v>
      </c>
      <c r="BZ318">
        <v>8651</v>
      </c>
      <c r="CA318">
        <v>8691</v>
      </c>
      <c r="CB318">
        <v>8716</v>
      </c>
      <c r="CC318">
        <v>8739</v>
      </c>
      <c r="CD318">
        <v>8750</v>
      </c>
      <c r="CE318">
        <v>8754</v>
      </c>
      <c r="CF318">
        <v>8756</v>
      </c>
      <c r="CG318">
        <v>8758</v>
      </c>
      <c r="CH318">
        <v>8760</v>
      </c>
      <c r="CI318">
        <v>8760</v>
      </c>
      <c r="CJ318">
        <v>8760</v>
      </c>
      <c r="CK318">
        <v>8760</v>
      </c>
      <c r="CL318">
        <v>8760</v>
      </c>
      <c r="CM318">
        <v>8760</v>
      </c>
      <c r="CN318">
        <v>8760</v>
      </c>
      <c r="CO318">
        <v>8760</v>
      </c>
      <c r="CP318">
        <v>8760</v>
      </c>
      <c r="CQ318">
        <v>8760</v>
      </c>
      <c r="CR318">
        <v>8760</v>
      </c>
      <c r="CS318">
        <v>8760</v>
      </c>
      <c r="CT318">
        <v>8760</v>
      </c>
      <c r="CU318">
        <v>8760</v>
      </c>
      <c r="CV318">
        <v>8760</v>
      </c>
      <c r="CW318">
        <v>8760</v>
      </c>
      <c r="CX318">
        <v>8760</v>
      </c>
      <c r="CY318">
        <v>8760</v>
      </c>
      <c r="CZ318">
        <v>8760</v>
      </c>
      <c r="DA318">
        <v>8760</v>
      </c>
      <c r="DB318">
        <v>8760</v>
      </c>
    </row>
    <row r="319" spans="1:106" x14ac:dyDescent="0.25">
      <c r="B319" t="s">
        <v>329</v>
      </c>
      <c r="C319" t="s">
        <v>438</v>
      </c>
      <c r="D319" t="s">
        <v>978</v>
      </c>
      <c r="E319" t="s">
        <v>979</v>
      </c>
      <c r="F319">
        <v>102410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4</v>
      </c>
      <c r="AO319">
        <v>8</v>
      </c>
      <c r="AP319">
        <v>10</v>
      </c>
      <c r="AQ319">
        <v>20</v>
      </c>
      <c r="AR319">
        <v>29</v>
      </c>
      <c r="AS319">
        <v>61</v>
      </c>
      <c r="AT319">
        <v>116</v>
      </c>
      <c r="AU319">
        <v>165</v>
      </c>
      <c r="AV319">
        <v>252</v>
      </c>
      <c r="AW319">
        <v>372</v>
      </c>
      <c r="AX319">
        <v>548</v>
      </c>
      <c r="AY319">
        <v>691</v>
      </c>
      <c r="AZ319">
        <v>875</v>
      </c>
      <c r="BA319">
        <v>1110</v>
      </c>
      <c r="BB319">
        <v>1360</v>
      </c>
      <c r="BC319">
        <v>1671</v>
      </c>
      <c r="BD319">
        <v>2010</v>
      </c>
      <c r="BE319">
        <v>2447</v>
      </c>
      <c r="BF319">
        <v>2873</v>
      </c>
      <c r="BG319">
        <v>3256</v>
      </c>
      <c r="BH319">
        <v>3602</v>
      </c>
      <c r="BI319">
        <v>3932</v>
      </c>
      <c r="BJ319">
        <v>4256</v>
      </c>
      <c r="BK319">
        <v>4587</v>
      </c>
      <c r="BL319">
        <v>4880</v>
      </c>
      <c r="BM319">
        <v>5195</v>
      </c>
      <c r="BN319">
        <v>5471</v>
      </c>
      <c r="BO319">
        <v>5798</v>
      </c>
      <c r="BP319">
        <v>6162</v>
      </c>
      <c r="BQ319">
        <v>6524</v>
      </c>
      <c r="BR319">
        <v>6903</v>
      </c>
      <c r="BS319">
        <v>7215</v>
      </c>
      <c r="BT319">
        <v>7508</v>
      </c>
      <c r="BU319">
        <v>7761</v>
      </c>
      <c r="BV319">
        <v>7986</v>
      </c>
      <c r="BW319">
        <v>8182</v>
      </c>
      <c r="BX319">
        <v>8337</v>
      </c>
      <c r="BY319">
        <v>8447</v>
      </c>
      <c r="BZ319">
        <v>8528</v>
      </c>
      <c r="CA319">
        <v>8597</v>
      </c>
      <c r="CB319">
        <v>8655</v>
      </c>
      <c r="CC319">
        <v>8695</v>
      </c>
      <c r="CD319">
        <v>8729</v>
      </c>
      <c r="CE319">
        <v>8750</v>
      </c>
      <c r="CF319">
        <v>8760</v>
      </c>
      <c r="CG319">
        <v>8760</v>
      </c>
      <c r="CH319">
        <v>8760</v>
      </c>
      <c r="CI319">
        <v>8760</v>
      </c>
      <c r="CJ319">
        <v>8760</v>
      </c>
      <c r="CK319">
        <v>8760</v>
      </c>
      <c r="CL319">
        <v>8760</v>
      </c>
      <c r="CM319">
        <v>8760</v>
      </c>
      <c r="CN319">
        <v>8760</v>
      </c>
      <c r="CO319">
        <v>8760</v>
      </c>
      <c r="CP319">
        <v>8760</v>
      </c>
      <c r="CQ319">
        <v>8760</v>
      </c>
      <c r="CR319">
        <v>8760</v>
      </c>
      <c r="CS319">
        <v>8760</v>
      </c>
      <c r="CT319">
        <v>8760</v>
      </c>
      <c r="CU319">
        <v>8760</v>
      </c>
      <c r="CV319">
        <v>8760</v>
      </c>
      <c r="CW319">
        <v>8760</v>
      </c>
      <c r="CX319">
        <v>8760</v>
      </c>
      <c r="CY319">
        <v>8760</v>
      </c>
      <c r="CZ319">
        <v>8760</v>
      </c>
      <c r="DA319">
        <v>8760</v>
      </c>
      <c r="DB319">
        <v>8760</v>
      </c>
    </row>
    <row r="320" spans="1:106" x14ac:dyDescent="0.25">
      <c r="B320" t="s">
        <v>330</v>
      </c>
      <c r="C320" t="s">
        <v>438</v>
      </c>
      <c r="D320" t="s">
        <v>980</v>
      </c>
      <c r="E320" t="s">
        <v>981</v>
      </c>
      <c r="F320">
        <v>102330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10</v>
      </c>
      <c r="AT320">
        <v>24</v>
      </c>
      <c r="AU320">
        <v>60</v>
      </c>
      <c r="AV320">
        <v>122</v>
      </c>
      <c r="AW320">
        <v>203</v>
      </c>
      <c r="AX320">
        <v>305</v>
      </c>
      <c r="AY320">
        <v>409</v>
      </c>
      <c r="AZ320">
        <v>526</v>
      </c>
      <c r="BA320">
        <v>654</v>
      </c>
      <c r="BB320">
        <v>810</v>
      </c>
      <c r="BC320">
        <v>1040</v>
      </c>
      <c r="BD320">
        <v>1339</v>
      </c>
      <c r="BE320">
        <v>1715</v>
      </c>
      <c r="BF320">
        <v>2271</v>
      </c>
      <c r="BG320">
        <v>2796</v>
      </c>
      <c r="BH320">
        <v>3260</v>
      </c>
      <c r="BI320">
        <v>3748</v>
      </c>
      <c r="BJ320">
        <v>4009</v>
      </c>
      <c r="BK320">
        <v>4381</v>
      </c>
      <c r="BL320">
        <v>4667</v>
      </c>
      <c r="BM320">
        <v>4993</v>
      </c>
      <c r="BN320">
        <v>5349</v>
      </c>
      <c r="BO320">
        <v>5728</v>
      </c>
      <c r="BP320">
        <v>6131</v>
      </c>
      <c r="BQ320">
        <v>6510</v>
      </c>
      <c r="BR320">
        <v>6917</v>
      </c>
      <c r="BS320">
        <v>7274</v>
      </c>
      <c r="BT320">
        <v>7606</v>
      </c>
      <c r="BU320">
        <v>7869</v>
      </c>
      <c r="BV320">
        <v>8090</v>
      </c>
      <c r="BW320">
        <v>8260</v>
      </c>
      <c r="BX320">
        <v>8392</v>
      </c>
      <c r="BY320">
        <v>8484</v>
      </c>
      <c r="BZ320">
        <v>8553</v>
      </c>
      <c r="CA320">
        <v>8613</v>
      </c>
      <c r="CB320">
        <v>8661</v>
      </c>
      <c r="CC320">
        <v>8699</v>
      </c>
      <c r="CD320">
        <v>8727</v>
      </c>
      <c r="CE320">
        <v>8748</v>
      </c>
      <c r="CF320">
        <v>8759</v>
      </c>
      <c r="CG320">
        <v>8759</v>
      </c>
      <c r="CH320">
        <v>8760</v>
      </c>
      <c r="CI320">
        <v>8760</v>
      </c>
      <c r="CJ320">
        <v>8760</v>
      </c>
      <c r="CK320">
        <v>8760</v>
      </c>
      <c r="CL320">
        <v>8760</v>
      </c>
      <c r="CM320">
        <v>8760</v>
      </c>
      <c r="CN320">
        <v>8760</v>
      </c>
      <c r="CO320">
        <v>8760</v>
      </c>
      <c r="CP320">
        <v>8760</v>
      </c>
      <c r="CQ320">
        <v>8760</v>
      </c>
      <c r="CR320">
        <v>8760</v>
      </c>
      <c r="CS320">
        <v>8760</v>
      </c>
      <c r="CT320">
        <v>8760</v>
      </c>
      <c r="CU320">
        <v>8760</v>
      </c>
      <c r="CV320">
        <v>8760</v>
      </c>
      <c r="CW320">
        <v>8760</v>
      </c>
      <c r="CX320">
        <v>8760</v>
      </c>
      <c r="CY320">
        <v>8760</v>
      </c>
      <c r="CZ320">
        <v>8760</v>
      </c>
      <c r="DA320">
        <v>8760</v>
      </c>
      <c r="DB320">
        <v>8760</v>
      </c>
    </row>
    <row r="321" spans="2:113" x14ac:dyDescent="0.25">
      <c r="B321" t="s">
        <v>319</v>
      </c>
      <c r="C321" t="s">
        <v>438</v>
      </c>
      <c r="D321" t="s">
        <v>982</v>
      </c>
      <c r="E321" t="s">
        <v>983</v>
      </c>
      <c r="F321">
        <v>102246</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0</v>
      </c>
      <c r="AI321">
        <v>0</v>
      </c>
      <c r="AJ321">
        <v>0</v>
      </c>
      <c r="AK321">
        <v>0</v>
      </c>
      <c r="AL321">
        <v>0</v>
      </c>
      <c r="AM321">
        <v>0</v>
      </c>
      <c r="AN321">
        <v>1</v>
      </c>
      <c r="AO321">
        <v>7</v>
      </c>
      <c r="AP321">
        <v>11</v>
      </c>
      <c r="AQ321">
        <v>20</v>
      </c>
      <c r="AR321">
        <v>29</v>
      </c>
      <c r="AS321">
        <v>48</v>
      </c>
      <c r="AT321">
        <v>85</v>
      </c>
      <c r="AU321">
        <v>143</v>
      </c>
      <c r="AV321">
        <v>222</v>
      </c>
      <c r="AW321">
        <v>293</v>
      </c>
      <c r="AX321">
        <v>376</v>
      </c>
      <c r="AY321">
        <v>486</v>
      </c>
      <c r="AZ321">
        <v>632</v>
      </c>
      <c r="BA321">
        <v>796</v>
      </c>
      <c r="BB321">
        <v>978</v>
      </c>
      <c r="BC321">
        <v>1219</v>
      </c>
      <c r="BD321">
        <v>1573</v>
      </c>
      <c r="BE321">
        <v>2032</v>
      </c>
      <c r="BF321">
        <v>2542</v>
      </c>
      <c r="BG321">
        <v>2969</v>
      </c>
      <c r="BH321">
        <v>3389</v>
      </c>
      <c r="BI321">
        <v>3775</v>
      </c>
      <c r="BJ321">
        <v>4147</v>
      </c>
      <c r="BK321">
        <v>4499</v>
      </c>
      <c r="BL321">
        <v>4821</v>
      </c>
      <c r="BM321">
        <v>5176</v>
      </c>
      <c r="BN321">
        <v>5561</v>
      </c>
      <c r="BO321">
        <v>5957</v>
      </c>
      <c r="BP321">
        <v>6318</v>
      </c>
      <c r="BQ321">
        <v>6695</v>
      </c>
      <c r="BR321">
        <v>7080</v>
      </c>
      <c r="BS321">
        <v>7444</v>
      </c>
      <c r="BT321">
        <v>7749</v>
      </c>
      <c r="BU321">
        <v>8029</v>
      </c>
      <c r="BV321">
        <v>8214</v>
      </c>
      <c r="BW321">
        <v>8383</v>
      </c>
      <c r="BX321">
        <v>8494</v>
      </c>
      <c r="BY321">
        <v>8583</v>
      </c>
      <c r="BZ321">
        <v>8636</v>
      </c>
      <c r="CA321">
        <v>8674</v>
      </c>
      <c r="CB321">
        <v>8695</v>
      </c>
      <c r="CC321">
        <v>8717</v>
      </c>
      <c r="CD321">
        <v>8735</v>
      </c>
      <c r="CE321">
        <v>8750</v>
      </c>
      <c r="CF321">
        <v>8758</v>
      </c>
      <c r="CG321">
        <v>8760</v>
      </c>
      <c r="CH321">
        <v>8760</v>
      </c>
      <c r="CI321">
        <v>8760</v>
      </c>
      <c r="CJ321">
        <v>8760</v>
      </c>
      <c r="CK321">
        <v>8760</v>
      </c>
      <c r="CL321">
        <v>8760</v>
      </c>
      <c r="CM321">
        <v>8760</v>
      </c>
      <c r="CN321">
        <v>8760</v>
      </c>
      <c r="CO321">
        <v>8760</v>
      </c>
      <c r="CP321">
        <v>8760</v>
      </c>
      <c r="CQ321">
        <v>8760</v>
      </c>
      <c r="CR321">
        <v>8760</v>
      </c>
      <c r="CS321">
        <v>8760</v>
      </c>
      <c r="CT321">
        <v>8760</v>
      </c>
      <c r="CU321">
        <v>8760</v>
      </c>
      <c r="CV321">
        <v>8760</v>
      </c>
      <c r="CW321">
        <v>8760</v>
      </c>
      <c r="CX321">
        <v>8760</v>
      </c>
      <c r="CY321">
        <v>8760</v>
      </c>
      <c r="CZ321">
        <v>8760</v>
      </c>
      <c r="DA321">
        <v>8760</v>
      </c>
      <c r="DB321">
        <v>8760</v>
      </c>
    </row>
    <row r="322" spans="2:113" x14ac:dyDescent="0.25">
      <c r="B322" t="s">
        <v>314</v>
      </c>
      <c r="C322" t="s">
        <v>438</v>
      </c>
      <c r="D322" t="s">
        <v>984</v>
      </c>
      <c r="E322" t="s">
        <v>985</v>
      </c>
      <c r="F322">
        <v>102211</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2</v>
      </c>
      <c r="AP322">
        <v>6</v>
      </c>
      <c r="AQ322">
        <v>12</v>
      </c>
      <c r="AR322">
        <v>29</v>
      </c>
      <c r="AS322">
        <v>49</v>
      </c>
      <c r="AT322">
        <v>84</v>
      </c>
      <c r="AU322">
        <v>125</v>
      </c>
      <c r="AV322">
        <v>183</v>
      </c>
      <c r="AW322">
        <v>241</v>
      </c>
      <c r="AX322">
        <v>327</v>
      </c>
      <c r="AY322">
        <v>436</v>
      </c>
      <c r="AZ322">
        <v>606</v>
      </c>
      <c r="BA322">
        <v>796</v>
      </c>
      <c r="BB322">
        <v>1050</v>
      </c>
      <c r="BC322">
        <v>1323</v>
      </c>
      <c r="BD322">
        <v>1645</v>
      </c>
      <c r="BE322">
        <v>2049</v>
      </c>
      <c r="BF322">
        <v>2459</v>
      </c>
      <c r="BG322">
        <v>2811</v>
      </c>
      <c r="BH322">
        <v>3164</v>
      </c>
      <c r="BI322">
        <v>3529</v>
      </c>
      <c r="BJ322">
        <v>3884</v>
      </c>
      <c r="BK322">
        <v>4269</v>
      </c>
      <c r="BL322">
        <v>4591</v>
      </c>
      <c r="BM322">
        <v>4893</v>
      </c>
      <c r="BN322">
        <v>5283</v>
      </c>
      <c r="BO322">
        <v>5707</v>
      </c>
      <c r="BP322">
        <v>6106</v>
      </c>
      <c r="BQ322">
        <v>6500</v>
      </c>
      <c r="BR322">
        <v>6871</v>
      </c>
      <c r="BS322">
        <v>7246</v>
      </c>
      <c r="BT322">
        <v>7587</v>
      </c>
      <c r="BU322">
        <v>7864</v>
      </c>
      <c r="BV322">
        <v>8108</v>
      </c>
      <c r="BW322">
        <v>8275</v>
      </c>
      <c r="BX322">
        <v>8407</v>
      </c>
      <c r="BY322">
        <v>8510</v>
      </c>
      <c r="BZ322">
        <v>8584</v>
      </c>
      <c r="CA322">
        <v>8647</v>
      </c>
      <c r="CB322">
        <v>8696</v>
      </c>
      <c r="CC322">
        <v>8724</v>
      </c>
      <c r="CD322">
        <v>8748</v>
      </c>
      <c r="CE322">
        <v>8757</v>
      </c>
      <c r="CF322">
        <v>8760</v>
      </c>
      <c r="CG322">
        <v>8760</v>
      </c>
      <c r="CH322">
        <v>8760</v>
      </c>
      <c r="CI322">
        <v>8760</v>
      </c>
      <c r="CJ322">
        <v>8760</v>
      </c>
      <c r="CK322">
        <v>8760</v>
      </c>
      <c r="CL322">
        <v>8760</v>
      </c>
      <c r="CM322">
        <v>8760</v>
      </c>
      <c r="CN322">
        <v>8760</v>
      </c>
      <c r="CO322">
        <v>8760</v>
      </c>
      <c r="CP322">
        <v>8760</v>
      </c>
      <c r="CQ322">
        <v>8760</v>
      </c>
      <c r="CR322">
        <v>8760</v>
      </c>
      <c r="CS322">
        <v>8760</v>
      </c>
      <c r="CT322">
        <v>8760</v>
      </c>
      <c r="CU322">
        <v>8760</v>
      </c>
      <c r="CV322">
        <v>8760</v>
      </c>
      <c r="CW322">
        <v>8760</v>
      </c>
      <c r="CX322">
        <v>8760</v>
      </c>
      <c r="CY322">
        <v>8760</v>
      </c>
      <c r="CZ322">
        <v>8760</v>
      </c>
      <c r="DA322">
        <v>8760</v>
      </c>
      <c r="DB322">
        <v>8760</v>
      </c>
    </row>
    <row r="323" spans="2:113" x14ac:dyDescent="0.25">
      <c r="B323" t="s">
        <v>423</v>
      </c>
      <c r="C323" t="s">
        <v>438</v>
      </c>
      <c r="D323" t="s">
        <v>986</v>
      </c>
      <c r="E323" t="s">
        <v>987</v>
      </c>
      <c r="F323">
        <v>102904</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3</v>
      </c>
      <c r="AF323">
        <v>7</v>
      </c>
      <c r="AG323">
        <v>11</v>
      </c>
      <c r="AH323">
        <v>18</v>
      </c>
      <c r="AI323">
        <v>64</v>
      </c>
      <c r="AJ323">
        <v>97</v>
      </c>
      <c r="AK323">
        <v>121</v>
      </c>
      <c r="AL323">
        <v>149</v>
      </c>
      <c r="AM323">
        <v>179</v>
      </c>
      <c r="AN323">
        <v>239</v>
      </c>
      <c r="AO323">
        <v>309</v>
      </c>
      <c r="AP323">
        <v>363</v>
      </c>
      <c r="AQ323">
        <v>430</v>
      </c>
      <c r="AR323">
        <v>487</v>
      </c>
      <c r="AS323">
        <v>560</v>
      </c>
      <c r="AT323">
        <v>634</v>
      </c>
      <c r="AU323">
        <v>741</v>
      </c>
      <c r="AV323">
        <v>914</v>
      </c>
      <c r="AW323">
        <v>1083</v>
      </c>
      <c r="AX323">
        <v>1247</v>
      </c>
      <c r="AY323">
        <v>1472</v>
      </c>
      <c r="AZ323">
        <v>1795</v>
      </c>
      <c r="BA323">
        <v>2170</v>
      </c>
      <c r="BB323">
        <v>2524</v>
      </c>
      <c r="BC323">
        <v>2906</v>
      </c>
      <c r="BD323">
        <v>3325</v>
      </c>
      <c r="BE323">
        <v>3793</v>
      </c>
      <c r="BF323">
        <v>4123</v>
      </c>
      <c r="BG323">
        <v>4472</v>
      </c>
      <c r="BH323">
        <v>4767</v>
      </c>
      <c r="BI323">
        <v>5028</v>
      </c>
      <c r="BJ323">
        <v>5278</v>
      </c>
      <c r="BK323">
        <v>5539</v>
      </c>
      <c r="BL323">
        <v>5833</v>
      </c>
      <c r="BM323">
        <v>6136</v>
      </c>
      <c r="BN323">
        <v>6396</v>
      </c>
      <c r="BO323">
        <v>6692</v>
      </c>
      <c r="BP323">
        <v>7008</v>
      </c>
      <c r="BQ323">
        <v>7268</v>
      </c>
      <c r="BR323">
        <v>7550</v>
      </c>
      <c r="BS323">
        <v>7783</v>
      </c>
      <c r="BT323">
        <v>7973</v>
      </c>
      <c r="BU323">
        <v>8144</v>
      </c>
      <c r="BV323">
        <v>8290</v>
      </c>
      <c r="BW323">
        <v>8408</v>
      </c>
      <c r="BX323">
        <v>8487</v>
      </c>
      <c r="BY323">
        <v>8549</v>
      </c>
      <c r="BZ323">
        <v>8613</v>
      </c>
      <c r="CA323">
        <v>8660</v>
      </c>
      <c r="CB323">
        <v>8699</v>
      </c>
      <c r="CC323">
        <v>8725</v>
      </c>
      <c r="CD323">
        <v>8746</v>
      </c>
      <c r="CE323">
        <v>8756</v>
      </c>
      <c r="CF323">
        <v>8759</v>
      </c>
      <c r="CG323">
        <v>8760</v>
      </c>
      <c r="CH323">
        <v>8760</v>
      </c>
      <c r="CI323">
        <v>8760</v>
      </c>
      <c r="CJ323">
        <v>8760</v>
      </c>
      <c r="CK323">
        <v>8760</v>
      </c>
      <c r="CL323">
        <v>8760</v>
      </c>
      <c r="CM323">
        <v>8760</v>
      </c>
      <c r="CN323">
        <v>8760</v>
      </c>
      <c r="CO323">
        <v>8760</v>
      </c>
      <c r="CP323">
        <v>8760</v>
      </c>
      <c r="CQ323">
        <v>8760</v>
      </c>
      <c r="CR323">
        <v>8760</v>
      </c>
      <c r="CS323">
        <v>8760</v>
      </c>
      <c r="CT323">
        <v>8760</v>
      </c>
      <c r="CU323">
        <v>8760</v>
      </c>
      <c r="CV323">
        <v>8760</v>
      </c>
      <c r="CW323">
        <v>8760</v>
      </c>
      <c r="CX323">
        <v>8760</v>
      </c>
      <c r="CY323">
        <v>8760</v>
      </c>
      <c r="CZ323">
        <v>8760</v>
      </c>
      <c r="DA323">
        <v>8760</v>
      </c>
      <c r="DB323">
        <v>8760</v>
      </c>
    </row>
    <row r="324" spans="2:113" x14ac:dyDescent="0.25">
      <c r="B324" t="s">
        <v>320</v>
      </c>
      <c r="C324" t="s">
        <v>438</v>
      </c>
      <c r="D324" t="s">
        <v>988</v>
      </c>
      <c r="E324" t="s">
        <v>989</v>
      </c>
      <c r="F324">
        <v>102625</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3</v>
      </c>
      <c r="AR324">
        <v>12</v>
      </c>
      <c r="AS324">
        <v>29</v>
      </c>
      <c r="AT324">
        <v>75</v>
      </c>
      <c r="AU324">
        <v>111</v>
      </c>
      <c r="AV324">
        <v>162</v>
      </c>
      <c r="AW324">
        <v>219</v>
      </c>
      <c r="AX324">
        <v>278</v>
      </c>
      <c r="AY324">
        <v>335</v>
      </c>
      <c r="AZ324">
        <v>432</v>
      </c>
      <c r="BA324">
        <v>611</v>
      </c>
      <c r="BB324">
        <v>853</v>
      </c>
      <c r="BC324">
        <v>1200</v>
      </c>
      <c r="BD324">
        <v>1660</v>
      </c>
      <c r="BE324">
        <v>2164</v>
      </c>
      <c r="BF324">
        <v>2615</v>
      </c>
      <c r="BG324">
        <v>3099</v>
      </c>
      <c r="BH324">
        <v>3485</v>
      </c>
      <c r="BI324">
        <v>3821</v>
      </c>
      <c r="BJ324">
        <v>4121</v>
      </c>
      <c r="BK324">
        <v>4431</v>
      </c>
      <c r="BL324">
        <v>4734</v>
      </c>
      <c r="BM324">
        <v>5108</v>
      </c>
      <c r="BN324">
        <v>5439</v>
      </c>
      <c r="BO324">
        <v>5754</v>
      </c>
      <c r="BP324">
        <v>6076</v>
      </c>
      <c r="BQ324">
        <v>6463</v>
      </c>
      <c r="BR324">
        <v>6881</v>
      </c>
      <c r="BS324">
        <v>7273</v>
      </c>
      <c r="BT324">
        <v>7619</v>
      </c>
      <c r="BU324">
        <v>7892</v>
      </c>
      <c r="BV324">
        <v>8134</v>
      </c>
      <c r="BW324">
        <v>8326</v>
      </c>
      <c r="BX324">
        <v>8477</v>
      </c>
      <c r="BY324">
        <v>8594</v>
      </c>
      <c r="BZ324">
        <v>8689</v>
      </c>
      <c r="CA324">
        <v>8730</v>
      </c>
      <c r="CB324">
        <v>8743</v>
      </c>
      <c r="CC324">
        <v>8754</v>
      </c>
      <c r="CD324">
        <v>8760</v>
      </c>
      <c r="CE324">
        <v>8760</v>
      </c>
      <c r="CF324">
        <v>8760</v>
      </c>
      <c r="CG324">
        <v>8760</v>
      </c>
      <c r="CH324">
        <v>8760</v>
      </c>
      <c r="CI324">
        <v>8760</v>
      </c>
      <c r="CJ324">
        <v>8760</v>
      </c>
      <c r="CK324">
        <v>8760</v>
      </c>
      <c r="CL324">
        <v>8760</v>
      </c>
      <c r="CM324">
        <v>8760</v>
      </c>
      <c r="CN324">
        <v>8760</v>
      </c>
      <c r="CO324">
        <v>8760</v>
      </c>
      <c r="CP324">
        <v>8760</v>
      </c>
      <c r="CQ324">
        <v>8760</v>
      </c>
      <c r="CR324">
        <v>8760</v>
      </c>
      <c r="CS324">
        <v>8760</v>
      </c>
      <c r="CT324">
        <v>8760</v>
      </c>
      <c r="CU324">
        <v>8760</v>
      </c>
      <c r="CV324">
        <v>8760</v>
      </c>
      <c r="CW324">
        <v>8760</v>
      </c>
      <c r="CX324">
        <v>8760</v>
      </c>
      <c r="CY324">
        <v>8760</v>
      </c>
      <c r="CZ324">
        <v>8760</v>
      </c>
      <c r="DA324">
        <v>8760</v>
      </c>
      <c r="DB324">
        <v>8760</v>
      </c>
    </row>
    <row r="325" spans="2:113" x14ac:dyDescent="0.25">
      <c r="B325" t="s">
        <v>321</v>
      </c>
      <c r="C325" t="s">
        <v>438</v>
      </c>
      <c r="D325" t="s">
        <v>990</v>
      </c>
      <c r="E325" t="s">
        <v>991</v>
      </c>
      <c r="F325">
        <v>102318</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2</v>
      </c>
      <c r="AK325">
        <v>5</v>
      </c>
      <c r="AL325">
        <v>9</v>
      </c>
      <c r="AM325">
        <v>15</v>
      </c>
      <c r="AN325">
        <v>22</v>
      </c>
      <c r="AO325">
        <v>27</v>
      </c>
      <c r="AP325">
        <v>36</v>
      </c>
      <c r="AQ325">
        <v>49</v>
      </c>
      <c r="AR325">
        <v>66</v>
      </c>
      <c r="AS325">
        <v>100</v>
      </c>
      <c r="AT325">
        <v>126</v>
      </c>
      <c r="AU325">
        <v>179</v>
      </c>
      <c r="AV325">
        <v>266</v>
      </c>
      <c r="AW325">
        <v>364</v>
      </c>
      <c r="AX325">
        <v>470</v>
      </c>
      <c r="AY325">
        <v>630</v>
      </c>
      <c r="AZ325">
        <v>810</v>
      </c>
      <c r="BA325">
        <v>1076</v>
      </c>
      <c r="BB325">
        <v>1338</v>
      </c>
      <c r="BC325">
        <v>1592</v>
      </c>
      <c r="BD325">
        <v>1942</v>
      </c>
      <c r="BE325">
        <v>2332</v>
      </c>
      <c r="BF325">
        <v>2729</v>
      </c>
      <c r="BG325">
        <v>3138</v>
      </c>
      <c r="BH325">
        <v>3484</v>
      </c>
      <c r="BI325">
        <v>3880</v>
      </c>
      <c r="BJ325">
        <v>4223</v>
      </c>
      <c r="BK325">
        <v>4608</v>
      </c>
      <c r="BL325">
        <v>4971</v>
      </c>
      <c r="BM325">
        <v>5338</v>
      </c>
      <c r="BN325">
        <v>5716</v>
      </c>
      <c r="BO325">
        <v>6117</v>
      </c>
      <c r="BP325">
        <v>6476</v>
      </c>
      <c r="BQ325">
        <v>6840</v>
      </c>
      <c r="BR325">
        <v>7116</v>
      </c>
      <c r="BS325">
        <v>7382</v>
      </c>
      <c r="BT325">
        <v>7640</v>
      </c>
      <c r="BU325">
        <v>7855</v>
      </c>
      <c r="BV325">
        <v>8038</v>
      </c>
      <c r="BW325">
        <v>8169</v>
      </c>
      <c r="BX325">
        <v>8289</v>
      </c>
      <c r="BY325">
        <v>8393</v>
      </c>
      <c r="BZ325">
        <v>8476</v>
      </c>
      <c r="CA325">
        <v>8572</v>
      </c>
      <c r="CB325">
        <v>8634</v>
      </c>
      <c r="CC325">
        <v>8677</v>
      </c>
      <c r="CD325">
        <v>8710</v>
      </c>
      <c r="CE325">
        <v>8738</v>
      </c>
      <c r="CF325">
        <v>8749</v>
      </c>
      <c r="CG325">
        <v>8759</v>
      </c>
      <c r="CH325">
        <v>8760</v>
      </c>
      <c r="CI325">
        <v>8760</v>
      </c>
      <c r="CJ325">
        <v>8760</v>
      </c>
      <c r="CK325">
        <v>8760</v>
      </c>
      <c r="CL325">
        <v>8760</v>
      </c>
      <c r="CM325">
        <v>8760</v>
      </c>
      <c r="CN325">
        <v>8760</v>
      </c>
      <c r="CO325">
        <v>8760</v>
      </c>
      <c r="CP325">
        <v>8760</v>
      </c>
      <c r="CQ325">
        <v>8760</v>
      </c>
      <c r="CR325">
        <v>8760</v>
      </c>
      <c r="CS325">
        <v>8760</v>
      </c>
      <c r="CT325">
        <v>8760</v>
      </c>
      <c r="CU325">
        <v>8760</v>
      </c>
      <c r="CV325">
        <v>8760</v>
      </c>
      <c r="CW325">
        <v>8760</v>
      </c>
      <c r="CX325">
        <v>8760</v>
      </c>
      <c r="CY325">
        <v>8760</v>
      </c>
      <c r="CZ325">
        <v>8760</v>
      </c>
      <c r="DA325">
        <v>8760</v>
      </c>
      <c r="DB325">
        <v>8760</v>
      </c>
    </row>
    <row r="326" spans="2:113" x14ac:dyDescent="0.25">
      <c r="B326" t="s">
        <v>323</v>
      </c>
      <c r="C326" t="s">
        <v>438</v>
      </c>
      <c r="D326" t="s">
        <v>992</v>
      </c>
      <c r="E326" t="s">
        <v>993</v>
      </c>
      <c r="F326">
        <v>102329</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4</v>
      </c>
      <c r="AQ326">
        <v>8</v>
      </c>
      <c r="AR326">
        <v>17</v>
      </c>
      <c r="AS326">
        <v>30</v>
      </c>
      <c r="AT326">
        <v>53</v>
      </c>
      <c r="AU326">
        <v>86</v>
      </c>
      <c r="AV326">
        <v>135</v>
      </c>
      <c r="AW326">
        <v>201</v>
      </c>
      <c r="AX326">
        <v>280</v>
      </c>
      <c r="AY326">
        <v>357</v>
      </c>
      <c r="AZ326">
        <v>493</v>
      </c>
      <c r="BA326">
        <v>668</v>
      </c>
      <c r="BB326">
        <v>927</v>
      </c>
      <c r="BC326">
        <v>1217</v>
      </c>
      <c r="BD326">
        <v>1527</v>
      </c>
      <c r="BE326">
        <v>1957</v>
      </c>
      <c r="BF326">
        <v>2404</v>
      </c>
      <c r="BG326">
        <v>2793</v>
      </c>
      <c r="BH326">
        <v>3256</v>
      </c>
      <c r="BI326">
        <v>3746</v>
      </c>
      <c r="BJ326">
        <v>4141</v>
      </c>
      <c r="BK326">
        <v>4449</v>
      </c>
      <c r="BL326">
        <v>4739</v>
      </c>
      <c r="BM326">
        <v>5023</v>
      </c>
      <c r="BN326">
        <v>5329</v>
      </c>
      <c r="BO326">
        <v>5662</v>
      </c>
      <c r="BP326">
        <v>6020</v>
      </c>
      <c r="BQ326">
        <v>6366</v>
      </c>
      <c r="BR326">
        <v>6683</v>
      </c>
      <c r="BS326">
        <v>7032</v>
      </c>
      <c r="BT326">
        <v>7345</v>
      </c>
      <c r="BU326">
        <v>7610</v>
      </c>
      <c r="BV326">
        <v>7825</v>
      </c>
      <c r="BW326">
        <v>8024</v>
      </c>
      <c r="BX326">
        <v>8189</v>
      </c>
      <c r="BY326">
        <v>8342</v>
      </c>
      <c r="BZ326">
        <v>8441</v>
      </c>
      <c r="CA326">
        <v>8540</v>
      </c>
      <c r="CB326">
        <v>8647</v>
      </c>
      <c r="CC326">
        <v>8702</v>
      </c>
      <c r="CD326">
        <v>8742</v>
      </c>
      <c r="CE326">
        <v>8758</v>
      </c>
      <c r="CF326">
        <v>8760</v>
      </c>
      <c r="CG326">
        <v>8760</v>
      </c>
      <c r="CH326">
        <v>8760</v>
      </c>
      <c r="CI326">
        <v>8760</v>
      </c>
      <c r="CJ326">
        <v>8760</v>
      </c>
      <c r="CK326">
        <v>8760</v>
      </c>
      <c r="CL326">
        <v>8760</v>
      </c>
      <c r="CM326">
        <v>8760</v>
      </c>
      <c r="CN326">
        <v>8760</v>
      </c>
      <c r="CO326">
        <v>8760</v>
      </c>
      <c r="CP326">
        <v>8760</v>
      </c>
      <c r="CQ326">
        <v>8760</v>
      </c>
      <c r="CR326">
        <v>8760</v>
      </c>
      <c r="CS326">
        <v>8760</v>
      </c>
      <c r="CT326">
        <v>8760</v>
      </c>
      <c r="CU326">
        <v>8760</v>
      </c>
      <c r="CV326">
        <v>8760</v>
      </c>
      <c r="CW326">
        <v>8760</v>
      </c>
      <c r="CX326">
        <v>8760</v>
      </c>
      <c r="CY326">
        <v>8760</v>
      </c>
      <c r="CZ326">
        <v>8760</v>
      </c>
      <c r="DA326">
        <v>8760</v>
      </c>
      <c r="DB326">
        <v>8760</v>
      </c>
    </row>
    <row r="327" spans="2:113" x14ac:dyDescent="0.25">
      <c r="B327" t="s">
        <v>322</v>
      </c>
      <c r="C327" t="s">
        <v>438</v>
      </c>
      <c r="D327" t="s">
        <v>994</v>
      </c>
      <c r="E327" t="s">
        <v>995</v>
      </c>
      <c r="F327">
        <v>102605</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4</v>
      </c>
      <c r="AK327">
        <v>5</v>
      </c>
      <c r="AL327">
        <v>15</v>
      </c>
      <c r="AM327">
        <v>33</v>
      </c>
      <c r="AN327">
        <v>46</v>
      </c>
      <c r="AO327">
        <v>57</v>
      </c>
      <c r="AP327">
        <v>79</v>
      </c>
      <c r="AQ327">
        <v>108</v>
      </c>
      <c r="AR327">
        <v>133</v>
      </c>
      <c r="AS327">
        <v>169</v>
      </c>
      <c r="AT327">
        <v>214</v>
      </c>
      <c r="AU327">
        <v>276</v>
      </c>
      <c r="AV327">
        <v>342</v>
      </c>
      <c r="AW327">
        <v>434</v>
      </c>
      <c r="AX327">
        <v>566</v>
      </c>
      <c r="AY327">
        <v>705</v>
      </c>
      <c r="AZ327">
        <v>871</v>
      </c>
      <c r="BA327">
        <v>1122</v>
      </c>
      <c r="BB327">
        <v>1433</v>
      </c>
      <c r="BC327">
        <v>1743</v>
      </c>
      <c r="BD327">
        <v>2115</v>
      </c>
      <c r="BE327">
        <v>2532</v>
      </c>
      <c r="BF327">
        <v>2907</v>
      </c>
      <c r="BG327">
        <v>3258</v>
      </c>
      <c r="BH327">
        <v>3582</v>
      </c>
      <c r="BI327">
        <v>3974</v>
      </c>
      <c r="BJ327">
        <v>4294</v>
      </c>
      <c r="BK327">
        <v>4615</v>
      </c>
      <c r="BL327">
        <v>4942</v>
      </c>
      <c r="BM327">
        <v>5195</v>
      </c>
      <c r="BN327">
        <v>5543</v>
      </c>
      <c r="BO327">
        <v>5886</v>
      </c>
      <c r="BP327">
        <v>6220</v>
      </c>
      <c r="BQ327">
        <v>6603</v>
      </c>
      <c r="BR327">
        <v>6975</v>
      </c>
      <c r="BS327">
        <v>7311</v>
      </c>
      <c r="BT327">
        <v>7609</v>
      </c>
      <c r="BU327">
        <v>7871</v>
      </c>
      <c r="BV327">
        <v>8066</v>
      </c>
      <c r="BW327">
        <v>8223</v>
      </c>
      <c r="BX327">
        <v>8367</v>
      </c>
      <c r="BY327">
        <v>8504</v>
      </c>
      <c r="BZ327">
        <v>8574</v>
      </c>
      <c r="CA327">
        <v>8643</v>
      </c>
      <c r="CB327">
        <v>8693</v>
      </c>
      <c r="CC327">
        <v>8717</v>
      </c>
      <c r="CD327">
        <v>8739</v>
      </c>
      <c r="CE327">
        <v>8751</v>
      </c>
      <c r="CF327">
        <v>8754</v>
      </c>
      <c r="CG327">
        <v>8756</v>
      </c>
      <c r="CH327">
        <v>8760</v>
      </c>
      <c r="CI327">
        <v>8760</v>
      </c>
      <c r="CJ327">
        <v>8760</v>
      </c>
      <c r="CK327">
        <v>8760</v>
      </c>
      <c r="CL327">
        <v>8760</v>
      </c>
      <c r="CM327">
        <v>8760</v>
      </c>
      <c r="CN327">
        <v>8760</v>
      </c>
      <c r="CO327">
        <v>8760</v>
      </c>
      <c r="CP327">
        <v>8760</v>
      </c>
      <c r="CQ327">
        <v>8760</v>
      </c>
      <c r="CR327">
        <v>8760</v>
      </c>
      <c r="CS327">
        <v>8760</v>
      </c>
      <c r="CT327">
        <v>8760</v>
      </c>
      <c r="CU327">
        <v>8760</v>
      </c>
      <c r="CV327">
        <v>8760</v>
      </c>
      <c r="CW327">
        <v>8760</v>
      </c>
      <c r="CX327">
        <v>8760</v>
      </c>
      <c r="CY327">
        <v>8760</v>
      </c>
      <c r="CZ327">
        <v>8760</v>
      </c>
      <c r="DA327">
        <v>8760</v>
      </c>
      <c r="DB327">
        <v>8760</v>
      </c>
    </row>
    <row r="328" spans="2:113" x14ac:dyDescent="0.25">
      <c r="B328" t="s">
        <v>324</v>
      </c>
      <c r="C328" t="s">
        <v>438</v>
      </c>
      <c r="D328" t="s">
        <v>996</v>
      </c>
      <c r="E328" t="s">
        <v>997</v>
      </c>
      <c r="F328">
        <v>102311</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4</v>
      </c>
      <c r="AN328">
        <v>8</v>
      </c>
      <c r="AO328">
        <v>12</v>
      </c>
      <c r="AP328">
        <v>17</v>
      </c>
      <c r="AQ328">
        <v>28</v>
      </c>
      <c r="AR328">
        <v>36</v>
      </c>
      <c r="AS328">
        <v>59</v>
      </c>
      <c r="AT328">
        <v>105</v>
      </c>
      <c r="AU328">
        <v>161</v>
      </c>
      <c r="AV328">
        <v>231</v>
      </c>
      <c r="AW328">
        <v>307</v>
      </c>
      <c r="AX328">
        <v>398</v>
      </c>
      <c r="AY328">
        <v>542</v>
      </c>
      <c r="AZ328">
        <v>713</v>
      </c>
      <c r="BA328">
        <v>920</v>
      </c>
      <c r="BB328">
        <v>1134</v>
      </c>
      <c r="BC328">
        <v>1392</v>
      </c>
      <c r="BD328">
        <v>1735</v>
      </c>
      <c r="BE328">
        <v>2207</v>
      </c>
      <c r="BF328">
        <v>2613</v>
      </c>
      <c r="BG328">
        <v>3058</v>
      </c>
      <c r="BH328">
        <v>3485</v>
      </c>
      <c r="BI328">
        <v>3848</v>
      </c>
      <c r="BJ328">
        <v>4220</v>
      </c>
      <c r="BK328">
        <v>4618</v>
      </c>
      <c r="BL328">
        <v>4950</v>
      </c>
      <c r="BM328">
        <v>5249</v>
      </c>
      <c r="BN328">
        <v>5548</v>
      </c>
      <c r="BO328">
        <v>5893</v>
      </c>
      <c r="BP328">
        <v>6253</v>
      </c>
      <c r="BQ328">
        <v>6637</v>
      </c>
      <c r="BR328">
        <v>6977</v>
      </c>
      <c r="BS328">
        <v>7287</v>
      </c>
      <c r="BT328">
        <v>7589</v>
      </c>
      <c r="BU328">
        <v>7891</v>
      </c>
      <c r="BV328">
        <v>8113</v>
      </c>
      <c r="BW328">
        <v>8281</v>
      </c>
      <c r="BX328">
        <v>8424</v>
      </c>
      <c r="BY328">
        <v>8535</v>
      </c>
      <c r="BZ328">
        <v>8605</v>
      </c>
      <c r="CA328">
        <v>8668</v>
      </c>
      <c r="CB328">
        <v>8705</v>
      </c>
      <c r="CC328">
        <v>8725</v>
      </c>
      <c r="CD328">
        <v>8745</v>
      </c>
      <c r="CE328">
        <v>8753</v>
      </c>
      <c r="CF328">
        <v>8755</v>
      </c>
      <c r="CG328">
        <v>8758</v>
      </c>
      <c r="CH328">
        <v>8760</v>
      </c>
      <c r="CI328">
        <v>8760</v>
      </c>
      <c r="CJ328">
        <v>8760</v>
      </c>
      <c r="CK328">
        <v>8760</v>
      </c>
      <c r="CL328">
        <v>8760</v>
      </c>
      <c r="CM328">
        <v>8760</v>
      </c>
      <c r="CN328">
        <v>8760</v>
      </c>
      <c r="CO328">
        <v>8760</v>
      </c>
      <c r="CP328">
        <v>8760</v>
      </c>
      <c r="CQ328">
        <v>8760</v>
      </c>
      <c r="CR328">
        <v>8760</v>
      </c>
      <c r="CS328">
        <v>8760</v>
      </c>
      <c r="CT328">
        <v>8760</v>
      </c>
      <c r="CU328">
        <v>8760</v>
      </c>
      <c r="CV328">
        <v>8760</v>
      </c>
      <c r="CW328">
        <v>8760</v>
      </c>
      <c r="CX328">
        <v>8760</v>
      </c>
      <c r="CY328">
        <v>8760</v>
      </c>
      <c r="CZ328">
        <v>8760</v>
      </c>
      <c r="DA328">
        <v>8760</v>
      </c>
      <c r="DB328">
        <v>8760</v>
      </c>
    </row>
    <row r="329" spans="2:113" x14ac:dyDescent="0.25">
      <c r="B329" t="s">
        <v>331</v>
      </c>
      <c r="C329" t="s">
        <v>438</v>
      </c>
      <c r="D329" t="s">
        <v>998</v>
      </c>
      <c r="E329" t="s">
        <v>999</v>
      </c>
      <c r="F329">
        <v>102422</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0</v>
      </c>
      <c r="AI329">
        <v>0</v>
      </c>
      <c r="AJ329">
        <v>0</v>
      </c>
      <c r="AK329">
        <v>0</v>
      </c>
      <c r="AL329">
        <v>0</v>
      </c>
      <c r="AM329">
        <v>1</v>
      </c>
      <c r="AN329">
        <v>3</v>
      </c>
      <c r="AO329">
        <v>6</v>
      </c>
      <c r="AP329">
        <v>9</v>
      </c>
      <c r="AQ329">
        <v>16</v>
      </c>
      <c r="AR329">
        <v>25</v>
      </c>
      <c r="AS329">
        <v>57</v>
      </c>
      <c r="AT329">
        <v>98</v>
      </c>
      <c r="AU329">
        <v>165</v>
      </c>
      <c r="AV329">
        <v>221</v>
      </c>
      <c r="AW329">
        <v>290</v>
      </c>
      <c r="AX329">
        <v>371</v>
      </c>
      <c r="AY329">
        <v>512</v>
      </c>
      <c r="AZ329">
        <v>632</v>
      </c>
      <c r="BA329">
        <v>856</v>
      </c>
      <c r="BB329">
        <v>1144</v>
      </c>
      <c r="BC329">
        <v>1475</v>
      </c>
      <c r="BD329">
        <v>1910</v>
      </c>
      <c r="BE329">
        <v>2416</v>
      </c>
      <c r="BF329">
        <v>2888</v>
      </c>
      <c r="BG329">
        <v>3304</v>
      </c>
      <c r="BH329">
        <v>3735</v>
      </c>
      <c r="BI329">
        <v>4095</v>
      </c>
      <c r="BJ329">
        <v>4478</v>
      </c>
      <c r="BK329">
        <v>4829</v>
      </c>
      <c r="BL329">
        <v>5150</v>
      </c>
      <c r="BM329">
        <v>5397</v>
      </c>
      <c r="BN329">
        <v>5667</v>
      </c>
      <c r="BO329">
        <v>5984</v>
      </c>
      <c r="BP329">
        <v>6307</v>
      </c>
      <c r="BQ329">
        <v>6669</v>
      </c>
      <c r="BR329">
        <v>6983</v>
      </c>
      <c r="BS329">
        <v>7339</v>
      </c>
      <c r="BT329">
        <v>7656</v>
      </c>
      <c r="BU329">
        <v>7952</v>
      </c>
      <c r="BV329">
        <v>8200</v>
      </c>
      <c r="BW329">
        <v>8379</v>
      </c>
      <c r="BX329">
        <v>8505</v>
      </c>
      <c r="BY329">
        <v>8613</v>
      </c>
      <c r="BZ329">
        <v>8663</v>
      </c>
      <c r="CA329">
        <v>8695</v>
      </c>
      <c r="CB329">
        <v>8718</v>
      </c>
      <c r="CC329">
        <v>8738</v>
      </c>
      <c r="CD329">
        <v>8753</v>
      </c>
      <c r="CE329">
        <v>8760</v>
      </c>
      <c r="CF329">
        <v>8760</v>
      </c>
      <c r="CG329">
        <v>8760</v>
      </c>
      <c r="CH329">
        <v>8760</v>
      </c>
      <c r="CI329">
        <v>8760</v>
      </c>
      <c r="CJ329">
        <v>8760</v>
      </c>
      <c r="CK329">
        <v>8760</v>
      </c>
      <c r="CL329">
        <v>8760</v>
      </c>
      <c r="CM329">
        <v>8760</v>
      </c>
      <c r="CN329">
        <v>8760</v>
      </c>
      <c r="CO329">
        <v>8760</v>
      </c>
      <c r="CP329">
        <v>8760</v>
      </c>
      <c r="CQ329">
        <v>8760</v>
      </c>
      <c r="CR329">
        <v>8760</v>
      </c>
      <c r="CS329">
        <v>8760</v>
      </c>
      <c r="CT329">
        <v>8760</v>
      </c>
      <c r="CU329">
        <v>8760</v>
      </c>
      <c r="CV329">
        <v>8760</v>
      </c>
      <c r="CW329">
        <v>8760</v>
      </c>
      <c r="CX329">
        <v>8760</v>
      </c>
      <c r="CY329">
        <v>8760</v>
      </c>
      <c r="CZ329">
        <v>8760</v>
      </c>
      <c r="DA329">
        <v>8760</v>
      </c>
      <c r="DB329">
        <v>8760</v>
      </c>
    </row>
    <row r="330" spans="2:113" x14ac:dyDescent="0.25">
      <c r="B330" t="s">
        <v>332</v>
      </c>
      <c r="C330" t="s">
        <v>438</v>
      </c>
      <c r="D330" t="s">
        <v>1000</v>
      </c>
      <c r="E330" t="s">
        <v>1001</v>
      </c>
      <c r="F330">
        <v>102102</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v>0</v>
      </c>
      <c r="AI330">
        <v>0</v>
      </c>
      <c r="AJ330">
        <v>0</v>
      </c>
      <c r="AK330">
        <v>0</v>
      </c>
      <c r="AL330">
        <v>0</v>
      </c>
      <c r="AM330">
        <v>0</v>
      </c>
      <c r="AN330">
        <v>0</v>
      </c>
      <c r="AO330">
        <v>0</v>
      </c>
      <c r="AP330">
        <v>0</v>
      </c>
      <c r="AQ330">
        <v>0</v>
      </c>
      <c r="AR330">
        <v>0</v>
      </c>
      <c r="AS330">
        <v>1</v>
      </c>
      <c r="AT330">
        <v>5</v>
      </c>
      <c r="AU330">
        <v>14</v>
      </c>
      <c r="AV330">
        <v>24</v>
      </c>
      <c r="AW330">
        <v>33</v>
      </c>
      <c r="AX330">
        <v>55</v>
      </c>
      <c r="AY330">
        <v>84</v>
      </c>
      <c r="AZ330">
        <v>135</v>
      </c>
      <c r="BA330">
        <v>223</v>
      </c>
      <c r="BB330">
        <v>335</v>
      </c>
      <c r="BC330">
        <v>523</v>
      </c>
      <c r="BD330">
        <v>797</v>
      </c>
      <c r="BE330">
        <v>1122</v>
      </c>
      <c r="BF330">
        <v>1527</v>
      </c>
      <c r="BG330">
        <v>1951</v>
      </c>
      <c r="BH330">
        <v>2463</v>
      </c>
      <c r="BI330">
        <v>2950</v>
      </c>
      <c r="BJ330">
        <v>3512</v>
      </c>
      <c r="BK330">
        <v>3965</v>
      </c>
      <c r="BL330">
        <v>4273</v>
      </c>
      <c r="BM330">
        <v>4608</v>
      </c>
      <c r="BN330">
        <v>5018</v>
      </c>
      <c r="BO330">
        <v>5424</v>
      </c>
      <c r="BP330">
        <v>5797</v>
      </c>
      <c r="BQ330">
        <v>6236</v>
      </c>
      <c r="BR330">
        <v>6679</v>
      </c>
      <c r="BS330">
        <v>7101</v>
      </c>
      <c r="BT330">
        <v>7501</v>
      </c>
      <c r="BU330">
        <v>7782</v>
      </c>
      <c r="BV330">
        <v>8120</v>
      </c>
      <c r="BW330">
        <v>8341</v>
      </c>
      <c r="BX330">
        <v>8531</v>
      </c>
      <c r="BY330">
        <v>8632</v>
      </c>
      <c r="BZ330">
        <v>8681</v>
      </c>
      <c r="CA330">
        <v>8734</v>
      </c>
      <c r="CB330">
        <v>8752</v>
      </c>
      <c r="CC330">
        <v>8759</v>
      </c>
      <c r="CD330">
        <v>8760</v>
      </c>
      <c r="CE330">
        <v>8760</v>
      </c>
      <c r="CF330">
        <v>8760</v>
      </c>
      <c r="CG330">
        <v>8760</v>
      </c>
      <c r="CH330">
        <v>8760</v>
      </c>
      <c r="CI330">
        <v>8760</v>
      </c>
      <c r="CJ330">
        <v>8760</v>
      </c>
      <c r="CK330">
        <v>8760</v>
      </c>
      <c r="CL330">
        <v>8760</v>
      </c>
      <c r="CM330">
        <v>8760</v>
      </c>
      <c r="CN330">
        <v>8760</v>
      </c>
      <c r="CO330">
        <v>8760</v>
      </c>
      <c r="CP330">
        <v>8760</v>
      </c>
      <c r="CQ330">
        <v>8760</v>
      </c>
      <c r="CR330">
        <v>8760</v>
      </c>
      <c r="CS330">
        <v>8760</v>
      </c>
      <c r="CT330">
        <v>8760</v>
      </c>
      <c r="CU330">
        <v>8760</v>
      </c>
      <c r="CV330">
        <v>8760</v>
      </c>
      <c r="CW330">
        <v>8760</v>
      </c>
      <c r="CX330">
        <v>8760</v>
      </c>
      <c r="CY330">
        <v>8760</v>
      </c>
      <c r="CZ330">
        <v>8760</v>
      </c>
      <c r="DA330">
        <v>8760</v>
      </c>
      <c r="DB330">
        <v>8760</v>
      </c>
    </row>
    <row r="331" spans="2:113" x14ac:dyDescent="0.25">
      <c r="B331" t="s">
        <v>424</v>
      </c>
    </row>
    <row r="332" spans="2:113" x14ac:dyDescent="0.25">
      <c r="B332" t="s">
        <v>425</v>
      </c>
      <c r="C332" t="s">
        <v>438</v>
      </c>
      <c r="D332" t="s">
        <v>1002</v>
      </c>
      <c r="E332" t="s">
        <v>1003</v>
      </c>
      <c r="F332">
        <v>102224</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0</v>
      </c>
      <c r="AI332">
        <v>3</v>
      </c>
      <c r="AJ332">
        <v>9</v>
      </c>
      <c r="AK332">
        <v>18</v>
      </c>
      <c r="AL332">
        <v>21</v>
      </c>
      <c r="AM332">
        <v>24</v>
      </c>
      <c r="AN332">
        <v>35</v>
      </c>
      <c r="AO332">
        <v>59</v>
      </c>
      <c r="AP332">
        <v>85</v>
      </c>
      <c r="AQ332">
        <v>110</v>
      </c>
      <c r="AR332">
        <v>146</v>
      </c>
      <c r="AS332">
        <v>185</v>
      </c>
      <c r="AT332">
        <v>224</v>
      </c>
      <c r="AU332">
        <v>257</v>
      </c>
      <c r="AV332">
        <v>302</v>
      </c>
      <c r="AW332">
        <v>370</v>
      </c>
      <c r="AX332">
        <v>428</v>
      </c>
      <c r="AY332">
        <v>507</v>
      </c>
      <c r="AZ332">
        <v>618</v>
      </c>
      <c r="BA332">
        <v>764</v>
      </c>
      <c r="BB332">
        <v>994</v>
      </c>
      <c r="BC332">
        <v>1346</v>
      </c>
      <c r="BD332">
        <v>1702</v>
      </c>
      <c r="BE332">
        <v>2097</v>
      </c>
      <c r="BF332">
        <v>2600</v>
      </c>
      <c r="BG332">
        <v>2997</v>
      </c>
      <c r="BH332">
        <v>3422</v>
      </c>
      <c r="BI332">
        <v>3782</v>
      </c>
      <c r="BJ332">
        <v>4101</v>
      </c>
      <c r="BK332">
        <v>4419</v>
      </c>
      <c r="BL332">
        <v>4795</v>
      </c>
      <c r="BM332">
        <v>5169</v>
      </c>
      <c r="BN332">
        <v>5510</v>
      </c>
      <c r="BO332">
        <v>5828</v>
      </c>
      <c r="BP332">
        <v>6202</v>
      </c>
      <c r="BQ332">
        <v>6540</v>
      </c>
      <c r="BR332">
        <v>6891</v>
      </c>
      <c r="BS332">
        <v>7267</v>
      </c>
      <c r="BT332">
        <v>7594</v>
      </c>
      <c r="BU332">
        <v>7866</v>
      </c>
      <c r="BV332">
        <v>8068</v>
      </c>
      <c r="BW332">
        <v>8253</v>
      </c>
      <c r="BX332">
        <v>8401</v>
      </c>
      <c r="BY332">
        <v>8512</v>
      </c>
      <c r="BZ332">
        <v>8584</v>
      </c>
      <c r="CA332">
        <v>8627</v>
      </c>
      <c r="CB332">
        <v>8666</v>
      </c>
      <c r="CC332">
        <v>8702</v>
      </c>
      <c r="CD332">
        <v>8722</v>
      </c>
      <c r="CE332">
        <v>8737</v>
      </c>
      <c r="CF332">
        <v>8755</v>
      </c>
      <c r="CG332">
        <v>8760</v>
      </c>
      <c r="CH332">
        <v>8760</v>
      </c>
      <c r="CI332">
        <v>8760</v>
      </c>
      <c r="CJ332">
        <v>8760</v>
      </c>
      <c r="CK332">
        <v>8760</v>
      </c>
      <c r="CL332">
        <v>8760</v>
      </c>
      <c r="CM332">
        <v>8760</v>
      </c>
      <c r="CN332">
        <v>8760</v>
      </c>
      <c r="CO332">
        <v>8760</v>
      </c>
      <c r="CP332">
        <v>8760</v>
      </c>
      <c r="CQ332">
        <v>8760</v>
      </c>
      <c r="CR332">
        <v>8760</v>
      </c>
      <c r="CS332">
        <v>8760</v>
      </c>
      <c r="CT332">
        <v>8760</v>
      </c>
      <c r="CU332">
        <v>8760</v>
      </c>
      <c r="CV332">
        <v>8760</v>
      </c>
      <c r="CW332">
        <v>8760</v>
      </c>
      <c r="CX332">
        <v>8760</v>
      </c>
      <c r="CY332">
        <v>8760</v>
      </c>
      <c r="CZ332">
        <v>8760</v>
      </c>
      <c r="DA332">
        <v>8760</v>
      </c>
      <c r="DB332">
        <v>8760</v>
      </c>
      <c r="DD332" s="6">
        <f t="shared" ref="DD332:DD355" si="0">DD333+1</f>
        <v>47</v>
      </c>
      <c r="DF332" t="e">
        <f t="shared" ref="DF332:DF356" ca="1" si="1">INDEX(G$358:DB$358,1,51+DD332)</f>
        <v>#N/A</v>
      </c>
      <c r="DG332" t="e">
        <f t="shared" ref="DG332:DG355" ca="1" si="2">DF332+DG333</f>
        <v>#N/A</v>
      </c>
      <c r="DH332" t="e">
        <f t="shared" ref="DH332:DH355" ca="1" si="3">-DF333/DG332+DH333</f>
        <v>#N/A</v>
      </c>
      <c r="DI332" t="e">
        <f t="shared" ref="DI332:DI356" ca="1" si="4">IF(DH332&lt;-1,-1,DH332)</f>
        <v>#N/A</v>
      </c>
    </row>
    <row r="333" spans="2:113" x14ac:dyDescent="0.25">
      <c r="B333" t="s">
        <v>41</v>
      </c>
      <c r="C333" t="s">
        <v>438</v>
      </c>
      <c r="D333" t="s">
        <v>1004</v>
      </c>
      <c r="E333" t="s">
        <v>1005</v>
      </c>
      <c r="F333">
        <v>102804</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0</v>
      </c>
      <c r="AH333">
        <v>4</v>
      </c>
      <c r="AI333">
        <v>20</v>
      </c>
      <c r="AJ333">
        <v>34</v>
      </c>
      <c r="AK333">
        <v>47</v>
      </c>
      <c r="AL333">
        <v>64</v>
      </c>
      <c r="AM333">
        <v>96</v>
      </c>
      <c r="AN333">
        <v>125</v>
      </c>
      <c r="AO333">
        <v>168</v>
      </c>
      <c r="AP333">
        <v>234</v>
      </c>
      <c r="AQ333">
        <v>308</v>
      </c>
      <c r="AR333">
        <v>378</v>
      </c>
      <c r="AS333">
        <v>472</v>
      </c>
      <c r="AT333">
        <v>579</v>
      </c>
      <c r="AU333">
        <v>698</v>
      </c>
      <c r="AV333">
        <v>820</v>
      </c>
      <c r="AW333">
        <v>966</v>
      </c>
      <c r="AX333">
        <v>1135</v>
      </c>
      <c r="AY333">
        <v>1371</v>
      </c>
      <c r="AZ333">
        <v>1616</v>
      </c>
      <c r="BA333">
        <v>1938</v>
      </c>
      <c r="BB333">
        <v>2270</v>
      </c>
      <c r="BC333">
        <v>2638</v>
      </c>
      <c r="BD333">
        <v>3072</v>
      </c>
      <c r="BE333">
        <v>3559</v>
      </c>
      <c r="BF333">
        <v>4026</v>
      </c>
      <c r="BG333">
        <v>4384</v>
      </c>
      <c r="BH333">
        <v>4742</v>
      </c>
      <c r="BI333">
        <v>5061</v>
      </c>
      <c r="BJ333">
        <v>5365</v>
      </c>
      <c r="BK333">
        <v>5693</v>
      </c>
      <c r="BL333">
        <v>6002</v>
      </c>
      <c r="BM333">
        <v>6341</v>
      </c>
      <c r="BN333">
        <v>6681</v>
      </c>
      <c r="BO333">
        <v>7002</v>
      </c>
      <c r="BP333">
        <v>7275</v>
      </c>
      <c r="BQ333">
        <v>7533</v>
      </c>
      <c r="BR333">
        <v>7779</v>
      </c>
      <c r="BS333">
        <v>8004</v>
      </c>
      <c r="BT333">
        <v>8187</v>
      </c>
      <c r="BU333">
        <v>8311</v>
      </c>
      <c r="BV333">
        <v>8413</v>
      </c>
      <c r="BW333">
        <v>8502</v>
      </c>
      <c r="BX333">
        <v>8568</v>
      </c>
      <c r="BY333">
        <v>8627</v>
      </c>
      <c r="BZ333">
        <v>8664</v>
      </c>
      <c r="CA333">
        <v>8699</v>
      </c>
      <c r="CB333">
        <v>8721</v>
      </c>
      <c r="CC333">
        <v>8740</v>
      </c>
      <c r="CD333">
        <v>8750</v>
      </c>
      <c r="CE333">
        <v>8756</v>
      </c>
      <c r="CF333">
        <v>8759</v>
      </c>
      <c r="CG333">
        <v>8760</v>
      </c>
      <c r="CH333">
        <v>8760</v>
      </c>
      <c r="CI333">
        <v>8760</v>
      </c>
      <c r="CJ333">
        <v>8760</v>
      </c>
      <c r="CK333">
        <v>8760</v>
      </c>
      <c r="CL333">
        <v>8760</v>
      </c>
      <c r="CM333">
        <v>8760</v>
      </c>
      <c r="CN333">
        <v>8760</v>
      </c>
      <c r="CO333">
        <v>8760</v>
      </c>
      <c r="CP333">
        <v>8760</v>
      </c>
      <c r="CQ333">
        <v>8760</v>
      </c>
      <c r="CR333">
        <v>8760</v>
      </c>
      <c r="CS333">
        <v>8760</v>
      </c>
      <c r="CT333">
        <v>8760</v>
      </c>
      <c r="CU333">
        <v>8760</v>
      </c>
      <c r="CV333">
        <v>8760</v>
      </c>
      <c r="CW333">
        <v>8760</v>
      </c>
      <c r="CX333">
        <v>8760</v>
      </c>
      <c r="CY333">
        <v>8760</v>
      </c>
      <c r="CZ333">
        <v>8760</v>
      </c>
      <c r="DA333">
        <v>8760</v>
      </c>
      <c r="DB333">
        <v>8760</v>
      </c>
      <c r="DD333" s="6">
        <f t="shared" si="0"/>
        <v>46</v>
      </c>
      <c r="DF333" t="e">
        <f t="shared" ca="1" si="1"/>
        <v>#N/A</v>
      </c>
      <c r="DG333" t="e">
        <f t="shared" ca="1" si="2"/>
        <v>#N/A</v>
      </c>
      <c r="DH333" t="e">
        <f t="shared" ca="1" si="3"/>
        <v>#N/A</v>
      </c>
      <c r="DI333" t="e">
        <f t="shared" ca="1" si="4"/>
        <v>#N/A</v>
      </c>
    </row>
    <row r="334" spans="2:113" x14ac:dyDescent="0.25">
      <c r="B334" t="s">
        <v>43</v>
      </c>
      <c r="C334" t="s">
        <v>438</v>
      </c>
      <c r="D334" t="s">
        <v>1006</v>
      </c>
      <c r="E334" t="s">
        <v>1007</v>
      </c>
      <c r="F334">
        <v>102809</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1</v>
      </c>
      <c r="AH334">
        <v>5</v>
      </c>
      <c r="AI334">
        <v>16</v>
      </c>
      <c r="AJ334">
        <v>40</v>
      </c>
      <c r="AK334">
        <v>75</v>
      </c>
      <c r="AL334">
        <v>114</v>
      </c>
      <c r="AM334">
        <v>139</v>
      </c>
      <c r="AN334">
        <v>171</v>
      </c>
      <c r="AO334">
        <v>241</v>
      </c>
      <c r="AP334">
        <v>274</v>
      </c>
      <c r="AQ334">
        <v>329</v>
      </c>
      <c r="AR334">
        <v>399</v>
      </c>
      <c r="AS334">
        <v>491</v>
      </c>
      <c r="AT334">
        <v>654</v>
      </c>
      <c r="AU334">
        <v>808</v>
      </c>
      <c r="AV334">
        <v>980</v>
      </c>
      <c r="AW334">
        <v>1198</v>
      </c>
      <c r="AX334">
        <v>1425</v>
      </c>
      <c r="AY334">
        <v>1672</v>
      </c>
      <c r="AZ334">
        <v>1939</v>
      </c>
      <c r="BA334">
        <v>2259</v>
      </c>
      <c r="BB334">
        <v>2742</v>
      </c>
      <c r="BC334">
        <v>3212</v>
      </c>
      <c r="BD334">
        <v>3585</v>
      </c>
      <c r="BE334">
        <v>4018</v>
      </c>
      <c r="BF334">
        <v>4357</v>
      </c>
      <c r="BG334">
        <v>4801</v>
      </c>
      <c r="BH334">
        <v>5153</v>
      </c>
      <c r="BI334">
        <v>5494</v>
      </c>
      <c r="BJ334">
        <v>5818</v>
      </c>
      <c r="BK334">
        <v>6152</v>
      </c>
      <c r="BL334">
        <v>6500</v>
      </c>
      <c r="BM334">
        <v>6846</v>
      </c>
      <c r="BN334">
        <v>7175</v>
      </c>
      <c r="BO334">
        <v>7520</v>
      </c>
      <c r="BP334">
        <v>7784</v>
      </c>
      <c r="BQ334">
        <v>8022</v>
      </c>
      <c r="BR334">
        <v>8202</v>
      </c>
      <c r="BS334">
        <v>8339</v>
      </c>
      <c r="BT334">
        <v>8454</v>
      </c>
      <c r="BU334">
        <v>8543</v>
      </c>
      <c r="BV334">
        <v>8620</v>
      </c>
      <c r="BW334">
        <v>8657</v>
      </c>
      <c r="BX334">
        <v>8690</v>
      </c>
      <c r="BY334">
        <v>8716</v>
      </c>
      <c r="BZ334">
        <v>8731</v>
      </c>
      <c r="CA334">
        <v>8740</v>
      </c>
      <c r="CB334">
        <v>8747</v>
      </c>
      <c r="CC334">
        <v>8756</v>
      </c>
      <c r="CD334">
        <v>8758</v>
      </c>
      <c r="CE334">
        <v>8760</v>
      </c>
      <c r="CF334">
        <v>8760</v>
      </c>
      <c r="CG334">
        <v>8760</v>
      </c>
      <c r="CH334">
        <v>8760</v>
      </c>
      <c r="CI334">
        <v>8760</v>
      </c>
      <c r="CJ334">
        <v>8760</v>
      </c>
      <c r="CK334">
        <v>8760</v>
      </c>
      <c r="CL334">
        <v>8760</v>
      </c>
      <c r="CM334">
        <v>8760</v>
      </c>
      <c r="CN334">
        <v>8760</v>
      </c>
      <c r="CO334">
        <v>8760</v>
      </c>
      <c r="CP334">
        <v>8760</v>
      </c>
      <c r="CQ334">
        <v>8760</v>
      </c>
      <c r="CR334">
        <v>8760</v>
      </c>
      <c r="CS334">
        <v>8760</v>
      </c>
      <c r="CT334">
        <v>8760</v>
      </c>
      <c r="CU334">
        <v>8760</v>
      </c>
      <c r="CV334">
        <v>8760</v>
      </c>
      <c r="CW334">
        <v>8760</v>
      </c>
      <c r="CX334">
        <v>8760</v>
      </c>
      <c r="CY334">
        <v>8760</v>
      </c>
      <c r="CZ334">
        <v>8760</v>
      </c>
      <c r="DA334">
        <v>8760</v>
      </c>
      <c r="DB334">
        <v>8760</v>
      </c>
      <c r="DD334" s="6">
        <f t="shared" si="0"/>
        <v>45</v>
      </c>
      <c r="DF334" t="e">
        <f t="shared" ca="1" si="1"/>
        <v>#N/A</v>
      </c>
      <c r="DG334" t="e">
        <f t="shared" ca="1" si="2"/>
        <v>#N/A</v>
      </c>
      <c r="DH334" t="e">
        <f t="shared" ca="1" si="3"/>
        <v>#N/A</v>
      </c>
      <c r="DI334" t="e">
        <f t="shared" ca="1" si="4"/>
        <v>#N/A</v>
      </c>
    </row>
    <row r="335" spans="2:113" x14ac:dyDescent="0.25">
      <c r="B335" t="s">
        <v>426</v>
      </c>
      <c r="C335" t="s">
        <v>438</v>
      </c>
      <c r="D335" t="s">
        <v>647</v>
      </c>
      <c r="E335" t="s">
        <v>1008</v>
      </c>
      <c r="F335">
        <v>102501</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4</v>
      </c>
      <c r="AJ335">
        <v>10</v>
      </c>
      <c r="AK335">
        <v>17</v>
      </c>
      <c r="AL335">
        <v>21</v>
      </c>
      <c r="AM335">
        <v>30</v>
      </c>
      <c r="AN335">
        <v>48</v>
      </c>
      <c r="AO335">
        <v>81</v>
      </c>
      <c r="AP335">
        <v>98</v>
      </c>
      <c r="AQ335">
        <v>113</v>
      </c>
      <c r="AR335">
        <v>131</v>
      </c>
      <c r="AS335">
        <v>161</v>
      </c>
      <c r="AT335">
        <v>204</v>
      </c>
      <c r="AU335">
        <v>268</v>
      </c>
      <c r="AV335">
        <v>346</v>
      </c>
      <c r="AW335">
        <v>453</v>
      </c>
      <c r="AX335">
        <v>551</v>
      </c>
      <c r="AY335">
        <v>671</v>
      </c>
      <c r="AZ335">
        <v>832</v>
      </c>
      <c r="BA335">
        <v>1053</v>
      </c>
      <c r="BB335">
        <v>1358</v>
      </c>
      <c r="BC335">
        <v>1722</v>
      </c>
      <c r="BD335">
        <v>2145</v>
      </c>
      <c r="BE335">
        <v>2622</v>
      </c>
      <c r="BF335">
        <v>2989</v>
      </c>
      <c r="BG335">
        <v>3429</v>
      </c>
      <c r="BH335">
        <v>3845</v>
      </c>
      <c r="BI335">
        <v>4246</v>
      </c>
      <c r="BJ335">
        <v>4588</v>
      </c>
      <c r="BK335">
        <v>4936</v>
      </c>
      <c r="BL335">
        <v>5229</v>
      </c>
      <c r="BM335">
        <v>5549</v>
      </c>
      <c r="BN335">
        <v>5865</v>
      </c>
      <c r="BO335">
        <v>6168</v>
      </c>
      <c r="BP335">
        <v>6487</v>
      </c>
      <c r="BQ335">
        <v>6790</v>
      </c>
      <c r="BR335">
        <v>7136</v>
      </c>
      <c r="BS335">
        <v>7432</v>
      </c>
      <c r="BT335">
        <v>7707</v>
      </c>
      <c r="BU335">
        <v>7950</v>
      </c>
      <c r="BV335">
        <v>8132</v>
      </c>
      <c r="BW335">
        <v>8270</v>
      </c>
      <c r="BX335">
        <v>8409</v>
      </c>
      <c r="BY335">
        <v>8546</v>
      </c>
      <c r="BZ335">
        <v>8635</v>
      </c>
      <c r="CA335">
        <v>8689</v>
      </c>
      <c r="CB335">
        <v>8729</v>
      </c>
      <c r="CC335">
        <v>8755</v>
      </c>
      <c r="CD335">
        <v>8760</v>
      </c>
      <c r="CE335">
        <v>8760</v>
      </c>
      <c r="CF335">
        <v>8760</v>
      </c>
      <c r="CG335">
        <v>8760</v>
      </c>
      <c r="CH335">
        <v>8760</v>
      </c>
      <c r="CI335">
        <v>8760</v>
      </c>
      <c r="CJ335">
        <v>8760</v>
      </c>
      <c r="CK335">
        <v>8760</v>
      </c>
      <c r="CL335">
        <v>8760</v>
      </c>
      <c r="CM335">
        <v>8760</v>
      </c>
      <c r="CN335">
        <v>8760</v>
      </c>
      <c r="CO335">
        <v>8760</v>
      </c>
      <c r="CP335">
        <v>8760</v>
      </c>
      <c r="CQ335">
        <v>8760</v>
      </c>
      <c r="CR335">
        <v>8760</v>
      </c>
      <c r="CS335">
        <v>8760</v>
      </c>
      <c r="CT335">
        <v>8760</v>
      </c>
      <c r="CU335">
        <v>8760</v>
      </c>
      <c r="CV335">
        <v>8760</v>
      </c>
      <c r="CW335">
        <v>8760</v>
      </c>
      <c r="CX335">
        <v>8760</v>
      </c>
      <c r="CY335">
        <v>8760</v>
      </c>
      <c r="CZ335">
        <v>8760</v>
      </c>
      <c r="DA335">
        <v>8760</v>
      </c>
      <c r="DB335">
        <v>8760</v>
      </c>
      <c r="DD335" s="6">
        <f t="shared" si="0"/>
        <v>44</v>
      </c>
      <c r="DF335" t="e">
        <f t="shared" ca="1" si="1"/>
        <v>#N/A</v>
      </c>
      <c r="DG335" t="e">
        <f t="shared" ca="1" si="2"/>
        <v>#N/A</v>
      </c>
      <c r="DH335" t="e">
        <f t="shared" ca="1" si="3"/>
        <v>#N/A</v>
      </c>
      <c r="DI335" t="e">
        <f t="shared" ca="1" si="4"/>
        <v>#N/A</v>
      </c>
    </row>
    <row r="336" spans="2:113" x14ac:dyDescent="0.25">
      <c r="B336" t="s">
        <v>427</v>
      </c>
      <c r="DD336" s="6">
        <f t="shared" si="0"/>
        <v>43</v>
      </c>
      <c r="DF336" t="e">
        <f t="shared" ca="1" si="1"/>
        <v>#N/A</v>
      </c>
      <c r="DG336" t="e">
        <f t="shared" ca="1" si="2"/>
        <v>#N/A</v>
      </c>
      <c r="DH336" t="e">
        <f t="shared" ca="1" si="3"/>
        <v>#N/A</v>
      </c>
      <c r="DI336" t="e">
        <f t="shared" ca="1" si="4"/>
        <v>#N/A</v>
      </c>
    </row>
    <row r="337" spans="2:113" x14ac:dyDescent="0.25">
      <c r="B337" t="s">
        <v>48</v>
      </c>
      <c r="C337" t="s">
        <v>438</v>
      </c>
      <c r="D337" t="s">
        <v>1009</v>
      </c>
      <c r="E337" t="s">
        <v>1010</v>
      </c>
      <c r="F337">
        <v>102324</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v>0</v>
      </c>
      <c r="AI337">
        <v>0</v>
      </c>
      <c r="AJ337">
        <v>0</v>
      </c>
      <c r="AK337">
        <v>6</v>
      </c>
      <c r="AL337">
        <v>10</v>
      </c>
      <c r="AM337">
        <v>13</v>
      </c>
      <c r="AN337">
        <v>22</v>
      </c>
      <c r="AO337">
        <v>48</v>
      </c>
      <c r="AP337">
        <v>63</v>
      </c>
      <c r="AQ337">
        <v>79</v>
      </c>
      <c r="AR337">
        <v>104</v>
      </c>
      <c r="AS337">
        <v>160</v>
      </c>
      <c r="AT337">
        <v>213</v>
      </c>
      <c r="AU337">
        <v>263</v>
      </c>
      <c r="AV337">
        <v>345</v>
      </c>
      <c r="AW337">
        <v>455</v>
      </c>
      <c r="AX337">
        <v>595</v>
      </c>
      <c r="AY337">
        <v>729</v>
      </c>
      <c r="AZ337">
        <v>862</v>
      </c>
      <c r="BA337">
        <v>1050</v>
      </c>
      <c r="BB337">
        <v>1287</v>
      </c>
      <c r="BC337">
        <v>1484</v>
      </c>
      <c r="BD337">
        <v>1829</v>
      </c>
      <c r="BE337">
        <v>2249</v>
      </c>
      <c r="BF337">
        <v>2695</v>
      </c>
      <c r="BG337">
        <v>3114</v>
      </c>
      <c r="BH337">
        <v>3551</v>
      </c>
      <c r="BI337">
        <v>3941</v>
      </c>
      <c r="BJ337">
        <v>4338</v>
      </c>
      <c r="BK337">
        <v>4668</v>
      </c>
      <c r="BL337">
        <v>5025</v>
      </c>
      <c r="BM337">
        <v>5367</v>
      </c>
      <c r="BN337">
        <v>5767</v>
      </c>
      <c r="BO337">
        <v>6192</v>
      </c>
      <c r="BP337">
        <v>6553</v>
      </c>
      <c r="BQ337">
        <v>6913</v>
      </c>
      <c r="BR337">
        <v>7255</v>
      </c>
      <c r="BS337">
        <v>7522</v>
      </c>
      <c r="BT337">
        <v>7771</v>
      </c>
      <c r="BU337">
        <v>8005</v>
      </c>
      <c r="BV337">
        <v>8195</v>
      </c>
      <c r="BW337">
        <v>8325</v>
      </c>
      <c r="BX337">
        <v>8422</v>
      </c>
      <c r="BY337">
        <v>8519</v>
      </c>
      <c r="BZ337">
        <v>8582</v>
      </c>
      <c r="CA337">
        <v>8628</v>
      </c>
      <c r="CB337">
        <v>8668</v>
      </c>
      <c r="CC337">
        <v>8692</v>
      </c>
      <c r="CD337">
        <v>8729</v>
      </c>
      <c r="CE337">
        <v>8749</v>
      </c>
      <c r="CF337">
        <v>8759</v>
      </c>
      <c r="CG337">
        <v>8760</v>
      </c>
      <c r="CH337">
        <v>8760</v>
      </c>
      <c r="CI337">
        <v>8760</v>
      </c>
      <c r="CJ337">
        <v>8760</v>
      </c>
      <c r="CK337">
        <v>8760</v>
      </c>
      <c r="CL337">
        <v>8760</v>
      </c>
      <c r="CM337">
        <v>8760</v>
      </c>
      <c r="CN337">
        <v>8760</v>
      </c>
      <c r="CO337">
        <v>8760</v>
      </c>
      <c r="CP337">
        <v>8760</v>
      </c>
      <c r="CQ337">
        <v>8760</v>
      </c>
      <c r="CR337">
        <v>8760</v>
      </c>
      <c r="CS337">
        <v>8760</v>
      </c>
      <c r="CT337">
        <v>8760</v>
      </c>
      <c r="CU337">
        <v>8760</v>
      </c>
      <c r="CV337">
        <v>8760</v>
      </c>
      <c r="CW337">
        <v>8760</v>
      </c>
      <c r="CX337">
        <v>8760</v>
      </c>
      <c r="CY337">
        <v>8760</v>
      </c>
      <c r="CZ337">
        <v>8760</v>
      </c>
      <c r="DA337">
        <v>8760</v>
      </c>
      <c r="DB337">
        <v>8760</v>
      </c>
      <c r="DD337" s="6">
        <f t="shared" si="0"/>
        <v>42</v>
      </c>
      <c r="DF337" t="e">
        <f t="shared" ca="1" si="1"/>
        <v>#N/A</v>
      </c>
      <c r="DG337" t="e">
        <f t="shared" ca="1" si="2"/>
        <v>#N/A</v>
      </c>
      <c r="DH337" t="e">
        <f t="shared" ca="1" si="3"/>
        <v>#N/A</v>
      </c>
      <c r="DI337" t="e">
        <f t="shared" ca="1" si="4"/>
        <v>#N/A</v>
      </c>
    </row>
    <row r="338" spans="2:113" x14ac:dyDescent="0.25">
      <c r="B338" t="s">
        <v>428</v>
      </c>
      <c r="C338" t="s">
        <v>438</v>
      </c>
      <c r="D338" t="s">
        <v>1011</v>
      </c>
      <c r="E338" t="s">
        <v>1012</v>
      </c>
      <c r="F338">
        <v>102140</v>
      </c>
      <c r="G338">
        <v>0</v>
      </c>
      <c r="H338">
        <v>0</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3</v>
      </c>
      <c r="AQ338">
        <v>8</v>
      </c>
      <c r="AR338">
        <v>20</v>
      </c>
      <c r="AS338">
        <v>29</v>
      </c>
      <c r="AT338">
        <v>41</v>
      </c>
      <c r="AU338">
        <v>57</v>
      </c>
      <c r="AV338">
        <v>86</v>
      </c>
      <c r="AW338">
        <v>107</v>
      </c>
      <c r="AX338">
        <v>142</v>
      </c>
      <c r="AY338">
        <v>199</v>
      </c>
      <c r="AZ338">
        <v>283</v>
      </c>
      <c r="BA338">
        <v>385</v>
      </c>
      <c r="BB338">
        <v>521</v>
      </c>
      <c r="BC338">
        <v>706</v>
      </c>
      <c r="BD338">
        <v>920</v>
      </c>
      <c r="BE338">
        <v>1312</v>
      </c>
      <c r="BF338">
        <v>1765</v>
      </c>
      <c r="BG338">
        <v>2262</v>
      </c>
      <c r="BH338">
        <v>2724</v>
      </c>
      <c r="BI338">
        <v>3243</v>
      </c>
      <c r="BJ338">
        <v>3681</v>
      </c>
      <c r="BK338">
        <v>4095</v>
      </c>
      <c r="BL338">
        <v>4432</v>
      </c>
      <c r="BM338">
        <v>4734</v>
      </c>
      <c r="BN338">
        <v>5076</v>
      </c>
      <c r="BO338">
        <v>5426</v>
      </c>
      <c r="BP338">
        <v>5814</v>
      </c>
      <c r="BQ338">
        <v>6257</v>
      </c>
      <c r="BR338">
        <v>6690</v>
      </c>
      <c r="BS338">
        <v>7128</v>
      </c>
      <c r="BT338">
        <v>7436</v>
      </c>
      <c r="BU338">
        <v>7762</v>
      </c>
      <c r="BV338">
        <v>8026</v>
      </c>
      <c r="BW338">
        <v>8220</v>
      </c>
      <c r="BX338">
        <v>8377</v>
      </c>
      <c r="BY338">
        <v>8501</v>
      </c>
      <c r="BZ338">
        <v>8583</v>
      </c>
      <c r="CA338">
        <v>8630</v>
      </c>
      <c r="CB338">
        <v>8655</v>
      </c>
      <c r="CC338">
        <v>8686</v>
      </c>
      <c r="CD338">
        <v>8717</v>
      </c>
      <c r="CE338">
        <v>8738</v>
      </c>
      <c r="CF338">
        <v>8748</v>
      </c>
      <c r="CG338">
        <v>8758</v>
      </c>
      <c r="CH338">
        <v>8760</v>
      </c>
      <c r="CI338">
        <v>8760</v>
      </c>
      <c r="CJ338">
        <v>8760</v>
      </c>
      <c r="CK338">
        <v>8760</v>
      </c>
      <c r="CL338">
        <v>8760</v>
      </c>
      <c r="CM338">
        <v>8760</v>
      </c>
      <c r="CN338">
        <v>8760</v>
      </c>
      <c r="CO338">
        <v>8760</v>
      </c>
      <c r="CP338">
        <v>8760</v>
      </c>
      <c r="CQ338">
        <v>8760</v>
      </c>
      <c r="CR338">
        <v>8760</v>
      </c>
      <c r="CS338">
        <v>8760</v>
      </c>
      <c r="CT338">
        <v>8760</v>
      </c>
      <c r="CU338">
        <v>8760</v>
      </c>
      <c r="CV338">
        <v>8760</v>
      </c>
      <c r="CW338">
        <v>8760</v>
      </c>
      <c r="CX338">
        <v>8760</v>
      </c>
      <c r="CY338">
        <v>8760</v>
      </c>
      <c r="CZ338">
        <v>8760</v>
      </c>
      <c r="DA338">
        <v>8760</v>
      </c>
      <c r="DB338">
        <v>8760</v>
      </c>
      <c r="DD338" s="6">
        <f t="shared" si="0"/>
        <v>41</v>
      </c>
      <c r="DF338" t="e">
        <f t="shared" ca="1" si="1"/>
        <v>#N/A</v>
      </c>
      <c r="DG338" t="e">
        <f t="shared" ca="1" si="2"/>
        <v>#N/A</v>
      </c>
      <c r="DH338" t="e">
        <f t="shared" ca="1" si="3"/>
        <v>#N/A</v>
      </c>
      <c r="DI338" t="e">
        <f t="shared" ca="1" si="4"/>
        <v>#N/A</v>
      </c>
    </row>
    <row r="339" spans="2:113" x14ac:dyDescent="0.25">
      <c r="B339" t="s">
        <v>50</v>
      </c>
      <c r="C339" t="s">
        <v>438</v>
      </c>
      <c r="D339" t="s">
        <v>1013</v>
      </c>
      <c r="E339" t="s">
        <v>921</v>
      </c>
      <c r="F339">
        <v>102404</v>
      </c>
      <c r="G339">
        <v>0</v>
      </c>
      <c r="H339">
        <v>0</v>
      </c>
      <c r="I339">
        <v>0</v>
      </c>
      <c r="J339">
        <v>0</v>
      </c>
      <c r="K339">
        <v>0</v>
      </c>
      <c r="L339">
        <v>0</v>
      </c>
      <c r="M339">
        <v>0</v>
      </c>
      <c r="N339">
        <v>0</v>
      </c>
      <c r="O339">
        <v>0</v>
      </c>
      <c r="P339">
        <v>0</v>
      </c>
      <c r="Q339">
        <v>0</v>
      </c>
      <c r="R339">
        <v>0</v>
      </c>
      <c r="S339">
        <v>0</v>
      </c>
      <c r="T339">
        <v>0</v>
      </c>
      <c r="U339">
        <v>0</v>
      </c>
      <c r="V339">
        <v>0</v>
      </c>
      <c r="W339">
        <v>0</v>
      </c>
      <c r="X339">
        <v>0</v>
      </c>
      <c r="Y339">
        <v>0</v>
      </c>
      <c r="Z339">
        <v>0</v>
      </c>
      <c r="AA339">
        <v>0</v>
      </c>
      <c r="AB339">
        <v>0</v>
      </c>
      <c r="AC339">
        <v>0</v>
      </c>
      <c r="AD339">
        <v>0</v>
      </c>
      <c r="AE339">
        <v>0</v>
      </c>
      <c r="AF339">
        <v>0</v>
      </c>
      <c r="AG339">
        <v>0</v>
      </c>
      <c r="AH339">
        <v>0</v>
      </c>
      <c r="AI339">
        <v>0</v>
      </c>
      <c r="AJ339">
        <v>0</v>
      </c>
      <c r="AK339">
        <v>0</v>
      </c>
      <c r="AL339">
        <v>1</v>
      </c>
      <c r="AM339">
        <v>6</v>
      </c>
      <c r="AN339">
        <v>9</v>
      </c>
      <c r="AO339">
        <v>12</v>
      </c>
      <c r="AP339">
        <v>16</v>
      </c>
      <c r="AQ339">
        <v>23</v>
      </c>
      <c r="AR339">
        <v>53</v>
      </c>
      <c r="AS339">
        <v>75</v>
      </c>
      <c r="AT339">
        <v>103</v>
      </c>
      <c r="AU339">
        <v>156</v>
      </c>
      <c r="AV339">
        <v>243</v>
      </c>
      <c r="AW339">
        <v>330</v>
      </c>
      <c r="AX339">
        <v>432</v>
      </c>
      <c r="AY339">
        <v>574</v>
      </c>
      <c r="AZ339">
        <v>749</v>
      </c>
      <c r="BA339">
        <v>966</v>
      </c>
      <c r="BB339">
        <v>1218</v>
      </c>
      <c r="BC339">
        <v>1548</v>
      </c>
      <c r="BD339">
        <v>2036</v>
      </c>
      <c r="BE339">
        <v>2605</v>
      </c>
      <c r="BF339">
        <v>3030</v>
      </c>
      <c r="BG339">
        <v>3337</v>
      </c>
      <c r="BH339">
        <v>3737</v>
      </c>
      <c r="BI339">
        <v>4092</v>
      </c>
      <c r="BJ339">
        <v>4385</v>
      </c>
      <c r="BK339">
        <v>4667</v>
      </c>
      <c r="BL339">
        <v>4979</v>
      </c>
      <c r="BM339">
        <v>5277</v>
      </c>
      <c r="BN339">
        <v>5608</v>
      </c>
      <c r="BO339">
        <v>5942</v>
      </c>
      <c r="BP339">
        <v>6250</v>
      </c>
      <c r="BQ339">
        <v>6593</v>
      </c>
      <c r="BR339">
        <v>7000</v>
      </c>
      <c r="BS339">
        <v>7290</v>
      </c>
      <c r="BT339">
        <v>7580</v>
      </c>
      <c r="BU339">
        <v>7829</v>
      </c>
      <c r="BV339">
        <v>8067</v>
      </c>
      <c r="BW339">
        <v>8280</v>
      </c>
      <c r="BX339">
        <v>8421</v>
      </c>
      <c r="BY339">
        <v>8526</v>
      </c>
      <c r="BZ339">
        <v>8599</v>
      </c>
      <c r="CA339">
        <v>8654</v>
      </c>
      <c r="CB339">
        <v>8690</v>
      </c>
      <c r="CC339">
        <v>8731</v>
      </c>
      <c r="CD339">
        <v>8756</v>
      </c>
      <c r="CE339">
        <v>8760</v>
      </c>
      <c r="CF339">
        <v>8760</v>
      </c>
      <c r="CG339">
        <v>8760</v>
      </c>
      <c r="CH339">
        <v>8760</v>
      </c>
      <c r="CI339">
        <v>8760</v>
      </c>
      <c r="CJ339">
        <v>8760</v>
      </c>
      <c r="CK339">
        <v>8760</v>
      </c>
      <c r="CL339">
        <v>8760</v>
      </c>
      <c r="CM339">
        <v>8760</v>
      </c>
      <c r="CN339">
        <v>8760</v>
      </c>
      <c r="CO339">
        <v>8760</v>
      </c>
      <c r="CP339">
        <v>8760</v>
      </c>
      <c r="CQ339">
        <v>8760</v>
      </c>
      <c r="CR339">
        <v>8760</v>
      </c>
      <c r="CS339">
        <v>8760</v>
      </c>
      <c r="CT339">
        <v>8760</v>
      </c>
      <c r="CU339">
        <v>8760</v>
      </c>
      <c r="CV339">
        <v>8760</v>
      </c>
      <c r="CW339">
        <v>8760</v>
      </c>
      <c r="CX339">
        <v>8760</v>
      </c>
      <c r="CY339">
        <v>8760</v>
      </c>
      <c r="CZ339">
        <v>8760</v>
      </c>
      <c r="DA339">
        <v>8760</v>
      </c>
      <c r="DB339">
        <v>8760</v>
      </c>
      <c r="DD339" s="6">
        <f t="shared" si="0"/>
        <v>40</v>
      </c>
      <c r="DF339" t="e">
        <f t="shared" ca="1" si="1"/>
        <v>#N/A</v>
      </c>
      <c r="DG339" t="e">
        <f t="shared" ca="1" si="2"/>
        <v>#N/A</v>
      </c>
      <c r="DH339" t="e">
        <f t="shared" ca="1" si="3"/>
        <v>#N/A</v>
      </c>
      <c r="DI339" t="e">
        <f t="shared" ca="1" si="4"/>
        <v>#N/A</v>
      </c>
    </row>
    <row r="340" spans="2:113" x14ac:dyDescent="0.25">
      <c r="B340" t="s">
        <v>35</v>
      </c>
      <c r="C340" t="s">
        <v>438</v>
      </c>
      <c r="D340" t="s">
        <v>1014</v>
      </c>
      <c r="E340" t="s">
        <v>1015</v>
      </c>
      <c r="F340">
        <v>102304</v>
      </c>
      <c r="G340">
        <v>0</v>
      </c>
      <c r="H340">
        <v>0</v>
      </c>
      <c r="I340">
        <v>0</v>
      </c>
      <c r="J340">
        <v>0</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v>0</v>
      </c>
      <c r="AI340">
        <v>0</v>
      </c>
      <c r="AJ340">
        <v>0</v>
      </c>
      <c r="AK340">
        <v>0</v>
      </c>
      <c r="AL340">
        <v>0</v>
      </c>
      <c r="AM340">
        <v>0</v>
      </c>
      <c r="AN340">
        <v>0</v>
      </c>
      <c r="AO340">
        <v>0</v>
      </c>
      <c r="AP340">
        <v>1</v>
      </c>
      <c r="AQ340">
        <v>5</v>
      </c>
      <c r="AR340">
        <v>19</v>
      </c>
      <c r="AS340">
        <v>42</v>
      </c>
      <c r="AT340">
        <v>64</v>
      </c>
      <c r="AU340">
        <v>94</v>
      </c>
      <c r="AV340">
        <v>131</v>
      </c>
      <c r="AW340">
        <v>173</v>
      </c>
      <c r="AX340">
        <v>231</v>
      </c>
      <c r="AY340">
        <v>317</v>
      </c>
      <c r="AZ340">
        <v>464</v>
      </c>
      <c r="BA340">
        <v>629</v>
      </c>
      <c r="BB340">
        <v>848</v>
      </c>
      <c r="BC340">
        <v>1081</v>
      </c>
      <c r="BD340">
        <v>1465</v>
      </c>
      <c r="BE340">
        <v>1932</v>
      </c>
      <c r="BF340">
        <v>2306</v>
      </c>
      <c r="BG340">
        <v>2773</v>
      </c>
      <c r="BH340">
        <v>3331</v>
      </c>
      <c r="BI340">
        <v>3760</v>
      </c>
      <c r="BJ340">
        <v>4153</v>
      </c>
      <c r="BK340">
        <v>4462</v>
      </c>
      <c r="BL340">
        <v>4783</v>
      </c>
      <c r="BM340">
        <v>5076</v>
      </c>
      <c r="BN340">
        <v>5458</v>
      </c>
      <c r="BO340">
        <v>5840</v>
      </c>
      <c r="BP340">
        <v>6246</v>
      </c>
      <c r="BQ340">
        <v>6623</v>
      </c>
      <c r="BR340">
        <v>6943</v>
      </c>
      <c r="BS340">
        <v>7289</v>
      </c>
      <c r="BT340">
        <v>7578</v>
      </c>
      <c r="BU340">
        <v>7832</v>
      </c>
      <c r="BV340">
        <v>8037</v>
      </c>
      <c r="BW340">
        <v>8197</v>
      </c>
      <c r="BX340">
        <v>8332</v>
      </c>
      <c r="BY340">
        <v>8452</v>
      </c>
      <c r="BZ340">
        <v>8548</v>
      </c>
      <c r="CA340">
        <v>8616</v>
      </c>
      <c r="CB340">
        <v>8664</v>
      </c>
      <c r="CC340">
        <v>8699</v>
      </c>
      <c r="CD340">
        <v>8721</v>
      </c>
      <c r="CE340">
        <v>8745</v>
      </c>
      <c r="CF340">
        <v>8752</v>
      </c>
      <c r="CG340">
        <v>8758</v>
      </c>
      <c r="CH340">
        <v>8760</v>
      </c>
      <c r="CI340">
        <v>8760</v>
      </c>
      <c r="CJ340">
        <v>8760</v>
      </c>
      <c r="CK340">
        <v>8760</v>
      </c>
      <c r="CL340">
        <v>8760</v>
      </c>
      <c r="CM340">
        <v>8760</v>
      </c>
      <c r="CN340">
        <v>8760</v>
      </c>
      <c r="CO340">
        <v>8760</v>
      </c>
      <c r="CP340">
        <v>8760</v>
      </c>
      <c r="CQ340">
        <v>8760</v>
      </c>
      <c r="CR340">
        <v>8760</v>
      </c>
      <c r="CS340">
        <v>8760</v>
      </c>
      <c r="CT340">
        <v>8760</v>
      </c>
      <c r="CU340">
        <v>8760</v>
      </c>
      <c r="CV340">
        <v>8760</v>
      </c>
      <c r="CW340">
        <v>8760</v>
      </c>
      <c r="CX340">
        <v>8760</v>
      </c>
      <c r="CY340">
        <v>8760</v>
      </c>
      <c r="CZ340">
        <v>8760</v>
      </c>
      <c r="DA340">
        <v>8760</v>
      </c>
      <c r="DB340">
        <v>8760</v>
      </c>
      <c r="DD340" s="6">
        <f t="shared" si="0"/>
        <v>39</v>
      </c>
      <c r="DF340" t="e">
        <f t="shared" ca="1" si="1"/>
        <v>#N/A</v>
      </c>
      <c r="DG340" t="e">
        <f t="shared" ca="1" si="2"/>
        <v>#N/A</v>
      </c>
      <c r="DH340" t="e">
        <f t="shared" ca="1" si="3"/>
        <v>#N/A</v>
      </c>
      <c r="DI340" t="e">
        <f t="shared" ca="1" si="4"/>
        <v>#N/A</v>
      </c>
    </row>
    <row r="341" spans="2:113" x14ac:dyDescent="0.25">
      <c r="B341" t="s">
        <v>36</v>
      </c>
      <c r="C341" t="s">
        <v>438</v>
      </c>
      <c r="D341" t="s">
        <v>1016</v>
      </c>
      <c r="E341" t="s">
        <v>1017</v>
      </c>
      <c r="F341">
        <v>102715</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3</v>
      </c>
      <c r="AE341">
        <v>9</v>
      </c>
      <c r="AF341">
        <v>22</v>
      </c>
      <c r="AG341">
        <v>41</v>
      </c>
      <c r="AH341">
        <v>55</v>
      </c>
      <c r="AI341">
        <v>79</v>
      </c>
      <c r="AJ341">
        <v>118</v>
      </c>
      <c r="AK341">
        <v>153</v>
      </c>
      <c r="AL341">
        <v>183</v>
      </c>
      <c r="AM341">
        <v>234</v>
      </c>
      <c r="AN341">
        <v>301</v>
      </c>
      <c r="AO341">
        <v>375</v>
      </c>
      <c r="AP341">
        <v>464</v>
      </c>
      <c r="AQ341">
        <v>567</v>
      </c>
      <c r="AR341">
        <v>660</v>
      </c>
      <c r="AS341">
        <v>755</v>
      </c>
      <c r="AT341">
        <v>866</v>
      </c>
      <c r="AU341">
        <v>982</v>
      </c>
      <c r="AV341">
        <v>1112</v>
      </c>
      <c r="AW341">
        <v>1264</v>
      </c>
      <c r="AX341">
        <v>1428</v>
      </c>
      <c r="AY341">
        <v>1636</v>
      </c>
      <c r="AZ341">
        <v>1879</v>
      </c>
      <c r="BA341">
        <v>2130</v>
      </c>
      <c r="BB341">
        <v>2437</v>
      </c>
      <c r="BC341">
        <v>2775</v>
      </c>
      <c r="BD341">
        <v>3137</v>
      </c>
      <c r="BE341">
        <v>3496</v>
      </c>
      <c r="BF341">
        <v>3873</v>
      </c>
      <c r="BG341">
        <v>4245</v>
      </c>
      <c r="BH341">
        <v>4599</v>
      </c>
      <c r="BI341">
        <v>4858</v>
      </c>
      <c r="BJ341">
        <v>5141</v>
      </c>
      <c r="BK341">
        <v>5412</v>
      </c>
      <c r="BL341">
        <v>5732</v>
      </c>
      <c r="BM341">
        <v>6073</v>
      </c>
      <c r="BN341">
        <v>6413</v>
      </c>
      <c r="BO341">
        <v>6734</v>
      </c>
      <c r="BP341">
        <v>7013</v>
      </c>
      <c r="BQ341">
        <v>7306</v>
      </c>
      <c r="BR341">
        <v>7575</v>
      </c>
      <c r="BS341">
        <v>7824</v>
      </c>
      <c r="BT341">
        <v>8048</v>
      </c>
      <c r="BU341">
        <v>8215</v>
      </c>
      <c r="BV341">
        <v>8370</v>
      </c>
      <c r="BW341">
        <v>8474</v>
      </c>
      <c r="BX341">
        <v>8548</v>
      </c>
      <c r="BY341">
        <v>8605</v>
      </c>
      <c r="BZ341">
        <v>8655</v>
      </c>
      <c r="CA341">
        <v>8697</v>
      </c>
      <c r="CB341">
        <v>8728</v>
      </c>
      <c r="CC341">
        <v>8746</v>
      </c>
      <c r="CD341">
        <v>8759</v>
      </c>
      <c r="CE341">
        <v>8760</v>
      </c>
      <c r="CF341">
        <v>8760</v>
      </c>
      <c r="CG341">
        <v>8760</v>
      </c>
      <c r="CH341">
        <v>8760</v>
      </c>
      <c r="CI341">
        <v>8760</v>
      </c>
      <c r="CJ341">
        <v>8760</v>
      </c>
      <c r="CK341">
        <v>8760</v>
      </c>
      <c r="CL341">
        <v>8760</v>
      </c>
      <c r="CM341">
        <v>8760</v>
      </c>
      <c r="CN341">
        <v>8760</v>
      </c>
      <c r="CO341">
        <v>8760</v>
      </c>
      <c r="CP341">
        <v>8760</v>
      </c>
      <c r="CQ341">
        <v>8760</v>
      </c>
      <c r="CR341">
        <v>8760</v>
      </c>
      <c r="CS341">
        <v>8760</v>
      </c>
      <c r="CT341">
        <v>8760</v>
      </c>
      <c r="CU341">
        <v>8760</v>
      </c>
      <c r="CV341">
        <v>8760</v>
      </c>
      <c r="CW341">
        <v>8760</v>
      </c>
      <c r="CX341">
        <v>8760</v>
      </c>
      <c r="CY341">
        <v>8760</v>
      </c>
      <c r="CZ341">
        <v>8760</v>
      </c>
      <c r="DA341">
        <v>8760</v>
      </c>
      <c r="DB341">
        <v>8760</v>
      </c>
      <c r="DD341" s="6">
        <f t="shared" si="0"/>
        <v>38</v>
      </c>
      <c r="DF341" t="e">
        <f t="shared" ca="1" si="1"/>
        <v>#N/A</v>
      </c>
      <c r="DG341" t="e">
        <f t="shared" ca="1" si="2"/>
        <v>#N/A</v>
      </c>
      <c r="DH341" t="e">
        <f t="shared" ca="1" si="3"/>
        <v>#N/A</v>
      </c>
      <c r="DI341" t="e">
        <f t="shared" ca="1" si="4"/>
        <v>#N/A</v>
      </c>
    </row>
    <row r="342" spans="2:113" x14ac:dyDescent="0.25">
      <c r="B342" t="s">
        <v>429</v>
      </c>
      <c r="DD342" s="6">
        <f t="shared" si="0"/>
        <v>37</v>
      </c>
      <c r="DF342" t="e">
        <f t="shared" ca="1" si="1"/>
        <v>#N/A</v>
      </c>
      <c r="DG342" t="e">
        <f t="shared" ca="1" si="2"/>
        <v>#N/A</v>
      </c>
      <c r="DH342" t="e">
        <f t="shared" ca="1" si="3"/>
        <v>#N/A</v>
      </c>
      <c r="DI342" t="e">
        <f t="shared" ca="1" si="4"/>
        <v>#N/A</v>
      </c>
    </row>
    <row r="343" spans="2:113" x14ac:dyDescent="0.25">
      <c r="B343" t="s">
        <v>38</v>
      </c>
      <c r="C343" t="s">
        <v>438</v>
      </c>
      <c r="D343" t="s">
        <v>1018</v>
      </c>
      <c r="E343" t="s">
        <v>1019</v>
      </c>
      <c r="F343">
        <v>102003</v>
      </c>
      <c r="G343">
        <v>0</v>
      </c>
      <c r="H343">
        <v>0</v>
      </c>
      <c r="I343">
        <v>0</v>
      </c>
      <c r="J343">
        <v>0</v>
      </c>
      <c r="K343">
        <v>0</v>
      </c>
      <c r="L343">
        <v>0</v>
      </c>
      <c r="M343">
        <v>0</v>
      </c>
      <c r="N343">
        <v>0</v>
      </c>
      <c r="O343">
        <v>0</v>
      </c>
      <c r="P343">
        <v>0</v>
      </c>
      <c r="Q343">
        <v>0</v>
      </c>
      <c r="R343">
        <v>0</v>
      </c>
      <c r="S343">
        <v>0</v>
      </c>
      <c r="T343">
        <v>0</v>
      </c>
      <c r="U343">
        <v>0</v>
      </c>
      <c r="V343">
        <v>0</v>
      </c>
      <c r="W343">
        <v>0</v>
      </c>
      <c r="X343">
        <v>0</v>
      </c>
      <c r="Y343">
        <v>4</v>
      </c>
      <c r="Z343">
        <v>8</v>
      </c>
      <c r="AA343">
        <v>13</v>
      </c>
      <c r="AB343">
        <v>22</v>
      </c>
      <c r="AC343">
        <v>32</v>
      </c>
      <c r="AD343">
        <v>53</v>
      </c>
      <c r="AE343">
        <v>92</v>
      </c>
      <c r="AF343">
        <v>155</v>
      </c>
      <c r="AG343">
        <v>221</v>
      </c>
      <c r="AH343">
        <v>292</v>
      </c>
      <c r="AI343">
        <v>345</v>
      </c>
      <c r="AJ343">
        <v>384</v>
      </c>
      <c r="AK343">
        <v>436</v>
      </c>
      <c r="AL343">
        <v>496</v>
      </c>
      <c r="AM343">
        <v>590</v>
      </c>
      <c r="AN343">
        <v>697</v>
      </c>
      <c r="AO343">
        <v>812</v>
      </c>
      <c r="AP343">
        <v>912</v>
      </c>
      <c r="AQ343">
        <v>1053</v>
      </c>
      <c r="AR343">
        <v>1170</v>
      </c>
      <c r="AS343">
        <v>1300</v>
      </c>
      <c r="AT343">
        <v>1457</v>
      </c>
      <c r="AU343">
        <v>1579</v>
      </c>
      <c r="AV343">
        <v>1741</v>
      </c>
      <c r="AW343">
        <v>1928</v>
      </c>
      <c r="AX343">
        <v>2140</v>
      </c>
      <c r="AY343">
        <v>2380</v>
      </c>
      <c r="AZ343">
        <v>2631</v>
      </c>
      <c r="BA343">
        <v>2857</v>
      </c>
      <c r="BB343">
        <v>3198</v>
      </c>
      <c r="BC343">
        <v>3484</v>
      </c>
      <c r="BD343">
        <v>3812</v>
      </c>
      <c r="BE343">
        <v>4182</v>
      </c>
      <c r="BF343">
        <v>4434</v>
      </c>
      <c r="BG343">
        <v>4689</v>
      </c>
      <c r="BH343">
        <v>4899</v>
      </c>
      <c r="BI343">
        <v>5162</v>
      </c>
      <c r="BJ343">
        <v>5397</v>
      </c>
      <c r="BK343">
        <v>5665</v>
      </c>
      <c r="BL343">
        <v>5927</v>
      </c>
      <c r="BM343">
        <v>6218</v>
      </c>
      <c r="BN343">
        <v>6507</v>
      </c>
      <c r="BO343">
        <v>6785</v>
      </c>
      <c r="BP343">
        <v>7105</v>
      </c>
      <c r="BQ343">
        <v>7447</v>
      </c>
      <c r="BR343">
        <v>7746</v>
      </c>
      <c r="BS343">
        <v>8005</v>
      </c>
      <c r="BT343">
        <v>8202</v>
      </c>
      <c r="BU343">
        <v>8341</v>
      </c>
      <c r="BV343">
        <v>8453</v>
      </c>
      <c r="BW343">
        <v>8544</v>
      </c>
      <c r="BX343">
        <v>8620</v>
      </c>
      <c r="BY343">
        <v>8663</v>
      </c>
      <c r="BZ343">
        <v>8694</v>
      </c>
      <c r="CA343">
        <v>8724</v>
      </c>
      <c r="CB343">
        <v>8749</v>
      </c>
      <c r="CC343">
        <v>8759</v>
      </c>
      <c r="CD343">
        <v>8760</v>
      </c>
      <c r="CE343">
        <v>8760</v>
      </c>
      <c r="CF343">
        <v>8760</v>
      </c>
      <c r="CG343">
        <v>8760</v>
      </c>
      <c r="CH343">
        <v>8760</v>
      </c>
      <c r="CI343">
        <v>8760</v>
      </c>
      <c r="CJ343">
        <v>8760</v>
      </c>
      <c r="CK343">
        <v>8760</v>
      </c>
      <c r="CL343">
        <v>8760</v>
      </c>
      <c r="CM343">
        <v>8760</v>
      </c>
      <c r="CN343">
        <v>8760</v>
      </c>
      <c r="CO343">
        <v>8760</v>
      </c>
      <c r="CP343">
        <v>8760</v>
      </c>
      <c r="CQ343">
        <v>8760</v>
      </c>
      <c r="CR343">
        <v>8760</v>
      </c>
      <c r="CS343">
        <v>8760</v>
      </c>
      <c r="CT343">
        <v>8760</v>
      </c>
      <c r="CU343">
        <v>8760</v>
      </c>
      <c r="CV343">
        <v>8760</v>
      </c>
      <c r="CW343">
        <v>8760</v>
      </c>
      <c r="CX343">
        <v>8760</v>
      </c>
      <c r="CY343">
        <v>8760</v>
      </c>
      <c r="CZ343">
        <v>8760</v>
      </c>
      <c r="DA343">
        <v>8760</v>
      </c>
      <c r="DB343">
        <v>8760</v>
      </c>
      <c r="DD343" s="6">
        <f t="shared" si="0"/>
        <v>36</v>
      </c>
      <c r="DF343" t="e">
        <f t="shared" ca="1" si="1"/>
        <v>#N/A</v>
      </c>
      <c r="DG343" t="e">
        <f t="shared" ca="1" si="2"/>
        <v>#N/A</v>
      </c>
      <c r="DH343" t="e">
        <f t="shared" ca="1" si="3"/>
        <v>#N/A</v>
      </c>
      <c r="DI343" t="e">
        <f t="shared" ca="1" si="4"/>
        <v>#N/A</v>
      </c>
    </row>
    <row r="344" spans="2:113" x14ac:dyDescent="0.25">
      <c r="B344" t="s">
        <v>40</v>
      </c>
      <c r="C344" t="s">
        <v>438</v>
      </c>
      <c r="D344" t="s">
        <v>1020</v>
      </c>
      <c r="E344" t="s">
        <v>1021</v>
      </c>
      <c r="F344">
        <v>102111</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c r="AP344">
        <v>0</v>
      </c>
      <c r="AQ344">
        <v>4</v>
      </c>
      <c r="AR344">
        <v>20</v>
      </c>
      <c r="AS344">
        <v>30</v>
      </c>
      <c r="AT344">
        <v>39</v>
      </c>
      <c r="AU344">
        <v>54</v>
      </c>
      <c r="AV344">
        <v>82</v>
      </c>
      <c r="AW344">
        <v>101</v>
      </c>
      <c r="AX344">
        <v>135</v>
      </c>
      <c r="AY344">
        <v>187</v>
      </c>
      <c r="AZ344">
        <v>276</v>
      </c>
      <c r="BA344">
        <v>382</v>
      </c>
      <c r="BB344">
        <v>515</v>
      </c>
      <c r="BC344">
        <v>692</v>
      </c>
      <c r="BD344">
        <v>915</v>
      </c>
      <c r="BE344">
        <v>1317</v>
      </c>
      <c r="BF344">
        <v>1798</v>
      </c>
      <c r="BG344">
        <v>2293</v>
      </c>
      <c r="BH344">
        <v>2768</v>
      </c>
      <c r="BI344">
        <v>3274</v>
      </c>
      <c r="BJ344">
        <v>3687</v>
      </c>
      <c r="BK344">
        <v>4103</v>
      </c>
      <c r="BL344">
        <v>4417</v>
      </c>
      <c r="BM344">
        <v>4718</v>
      </c>
      <c r="BN344">
        <v>5032</v>
      </c>
      <c r="BO344">
        <v>5367</v>
      </c>
      <c r="BP344">
        <v>5753</v>
      </c>
      <c r="BQ344">
        <v>6215</v>
      </c>
      <c r="BR344">
        <v>6620</v>
      </c>
      <c r="BS344">
        <v>7091</v>
      </c>
      <c r="BT344">
        <v>7419</v>
      </c>
      <c r="BU344">
        <v>7764</v>
      </c>
      <c r="BV344">
        <v>8028</v>
      </c>
      <c r="BW344">
        <v>8218</v>
      </c>
      <c r="BX344">
        <v>8387</v>
      </c>
      <c r="BY344">
        <v>8511</v>
      </c>
      <c r="BZ344">
        <v>8580</v>
      </c>
      <c r="CA344">
        <v>8624</v>
      </c>
      <c r="CB344">
        <v>8658</v>
      </c>
      <c r="CC344">
        <v>8687</v>
      </c>
      <c r="CD344">
        <v>8714</v>
      </c>
      <c r="CE344">
        <v>8730</v>
      </c>
      <c r="CF344">
        <v>8739</v>
      </c>
      <c r="CG344">
        <v>8757</v>
      </c>
      <c r="CH344">
        <v>8760</v>
      </c>
      <c r="CI344">
        <v>8760</v>
      </c>
      <c r="CJ344">
        <v>8760</v>
      </c>
      <c r="CK344">
        <v>8760</v>
      </c>
      <c r="CL344">
        <v>8760</v>
      </c>
      <c r="CM344">
        <v>8760</v>
      </c>
      <c r="CN344">
        <v>8760</v>
      </c>
      <c r="CO344">
        <v>8760</v>
      </c>
      <c r="CP344">
        <v>8760</v>
      </c>
      <c r="CQ344">
        <v>8760</v>
      </c>
      <c r="CR344">
        <v>8760</v>
      </c>
      <c r="CS344">
        <v>8760</v>
      </c>
      <c r="CT344">
        <v>8760</v>
      </c>
      <c r="CU344">
        <v>8760</v>
      </c>
      <c r="CV344">
        <v>8760</v>
      </c>
      <c r="CW344">
        <v>8760</v>
      </c>
      <c r="CX344">
        <v>8760</v>
      </c>
      <c r="CY344">
        <v>8760</v>
      </c>
      <c r="CZ344">
        <v>8760</v>
      </c>
      <c r="DA344">
        <v>8760</v>
      </c>
      <c r="DB344">
        <v>8760</v>
      </c>
      <c r="DD344" s="6">
        <f t="shared" si="0"/>
        <v>35</v>
      </c>
      <c r="DF344" t="e">
        <f t="shared" ca="1" si="1"/>
        <v>#N/A</v>
      </c>
      <c r="DG344" t="e">
        <f t="shared" ca="1" si="2"/>
        <v>#N/A</v>
      </c>
      <c r="DH344" t="e">
        <f t="shared" ca="1" si="3"/>
        <v>#N/A</v>
      </c>
      <c r="DI344" t="e">
        <f t="shared" ca="1" si="4"/>
        <v>#N/A</v>
      </c>
    </row>
    <row r="345" spans="2:113" x14ac:dyDescent="0.25">
      <c r="B345" t="s">
        <v>212</v>
      </c>
      <c r="C345" t="s">
        <v>438</v>
      </c>
      <c r="D345" t="s">
        <v>1022</v>
      </c>
      <c r="E345" t="s">
        <v>1023</v>
      </c>
      <c r="F345">
        <v>102236</v>
      </c>
      <c r="G345">
        <v>0</v>
      </c>
      <c r="H345">
        <v>0</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c r="AP345">
        <v>0</v>
      </c>
      <c r="AQ345">
        <v>0</v>
      </c>
      <c r="AR345">
        <v>0</v>
      </c>
      <c r="AS345">
        <v>0</v>
      </c>
      <c r="AT345">
        <v>0</v>
      </c>
      <c r="AU345">
        <v>11</v>
      </c>
      <c r="AV345">
        <v>21</v>
      </c>
      <c r="AW345">
        <v>32</v>
      </c>
      <c r="AX345">
        <v>72</v>
      </c>
      <c r="AY345">
        <v>148</v>
      </c>
      <c r="AZ345">
        <v>247</v>
      </c>
      <c r="BA345">
        <v>336</v>
      </c>
      <c r="BB345">
        <v>399</v>
      </c>
      <c r="BC345">
        <v>553</v>
      </c>
      <c r="BD345">
        <v>806</v>
      </c>
      <c r="BE345">
        <v>1168</v>
      </c>
      <c r="BF345">
        <v>1610</v>
      </c>
      <c r="BG345">
        <v>2015</v>
      </c>
      <c r="BH345">
        <v>2492</v>
      </c>
      <c r="BI345">
        <v>2951</v>
      </c>
      <c r="BJ345">
        <v>3475</v>
      </c>
      <c r="BK345">
        <v>3809</v>
      </c>
      <c r="BL345">
        <v>4161</v>
      </c>
      <c r="BM345">
        <v>4572</v>
      </c>
      <c r="BN345">
        <v>4929</v>
      </c>
      <c r="BO345">
        <v>5340</v>
      </c>
      <c r="BP345">
        <v>5782</v>
      </c>
      <c r="BQ345">
        <v>6224</v>
      </c>
      <c r="BR345">
        <v>6777</v>
      </c>
      <c r="BS345">
        <v>7288</v>
      </c>
      <c r="BT345">
        <v>7732</v>
      </c>
      <c r="BU345">
        <v>8044</v>
      </c>
      <c r="BV345">
        <v>8307</v>
      </c>
      <c r="BW345">
        <v>8477</v>
      </c>
      <c r="BX345">
        <v>8611</v>
      </c>
      <c r="BY345">
        <v>8683</v>
      </c>
      <c r="BZ345">
        <v>8725</v>
      </c>
      <c r="CA345">
        <v>8744</v>
      </c>
      <c r="CB345">
        <v>8758</v>
      </c>
      <c r="CC345">
        <v>8760</v>
      </c>
      <c r="CD345">
        <v>8760</v>
      </c>
      <c r="CE345">
        <v>8760</v>
      </c>
      <c r="CF345">
        <v>8760</v>
      </c>
      <c r="CG345">
        <v>8760</v>
      </c>
      <c r="CH345">
        <v>8760</v>
      </c>
      <c r="CI345">
        <v>8760</v>
      </c>
      <c r="CJ345">
        <v>8760</v>
      </c>
      <c r="CK345">
        <v>8760</v>
      </c>
      <c r="CL345">
        <v>8760</v>
      </c>
      <c r="CM345">
        <v>8760</v>
      </c>
      <c r="CN345">
        <v>8760</v>
      </c>
      <c r="CO345">
        <v>8760</v>
      </c>
      <c r="CP345">
        <v>8760</v>
      </c>
      <c r="CQ345">
        <v>8760</v>
      </c>
      <c r="CR345">
        <v>8760</v>
      </c>
      <c r="CS345">
        <v>8760</v>
      </c>
      <c r="CT345">
        <v>8760</v>
      </c>
      <c r="CU345">
        <v>8760</v>
      </c>
      <c r="CV345">
        <v>8760</v>
      </c>
      <c r="CW345">
        <v>8760</v>
      </c>
      <c r="CX345">
        <v>8760</v>
      </c>
      <c r="CY345">
        <v>8760</v>
      </c>
      <c r="CZ345">
        <v>8760</v>
      </c>
      <c r="DA345">
        <v>8760</v>
      </c>
      <c r="DB345">
        <v>8760</v>
      </c>
      <c r="DD345" s="6">
        <f t="shared" si="0"/>
        <v>34</v>
      </c>
      <c r="DF345" t="e">
        <f t="shared" ca="1" si="1"/>
        <v>#N/A</v>
      </c>
      <c r="DG345" t="e">
        <f t="shared" ca="1" si="2"/>
        <v>#N/A</v>
      </c>
      <c r="DH345" t="e">
        <f t="shared" ca="1" si="3"/>
        <v>#N/A</v>
      </c>
      <c r="DI345" t="e">
        <f t="shared" ca="1" si="4"/>
        <v>#N/A</v>
      </c>
    </row>
    <row r="346" spans="2:113" x14ac:dyDescent="0.25">
      <c r="B346" t="s">
        <v>213</v>
      </c>
      <c r="C346" t="s">
        <v>438</v>
      </c>
      <c r="D346" t="s">
        <v>1024</v>
      </c>
      <c r="E346" t="s">
        <v>1025</v>
      </c>
      <c r="F346">
        <v>102401</v>
      </c>
      <c r="G346">
        <v>0</v>
      </c>
      <c r="H346">
        <v>0</v>
      </c>
      <c r="I346">
        <v>0</v>
      </c>
      <c r="J346">
        <v>0</v>
      </c>
      <c r="K346">
        <v>0</v>
      </c>
      <c r="L346">
        <v>0</v>
      </c>
      <c r="M346">
        <v>0</v>
      </c>
      <c r="N346">
        <v>0</v>
      </c>
      <c r="O346">
        <v>0</v>
      </c>
      <c r="P346">
        <v>0</v>
      </c>
      <c r="Q346">
        <v>0</v>
      </c>
      <c r="R346">
        <v>0</v>
      </c>
      <c r="S346">
        <v>0</v>
      </c>
      <c r="T346">
        <v>0</v>
      </c>
      <c r="U346">
        <v>0</v>
      </c>
      <c r="V346">
        <v>0</v>
      </c>
      <c r="W346">
        <v>0</v>
      </c>
      <c r="X346">
        <v>0</v>
      </c>
      <c r="Y346">
        <v>0</v>
      </c>
      <c r="Z346">
        <v>0</v>
      </c>
      <c r="AA346">
        <v>0</v>
      </c>
      <c r="AB346">
        <v>0</v>
      </c>
      <c r="AC346">
        <v>0</v>
      </c>
      <c r="AD346">
        <v>0</v>
      </c>
      <c r="AE346">
        <v>0</v>
      </c>
      <c r="AF346">
        <v>0</v>
      </c>
      <c r="AG346">
        <v>0</v>
      </c>
      <c r="AH346">
        <v>0</v>
      </c>
      <c r="AI346">
        <v>0</v>
      </c>
      <c r="AJ346">
        <v>2</v>
      </c>
      <c r="AK346">
        <v>4</v>
      </c>
      <c r="AL346">
        <v>6</v>
      </c>
      <c r="AM346">
        <v>14</v>
      </c>
      <c r="AN346">
        <v>28</v>
      </c>
      <c r="AO346">
        <v>36</v>
      </c>
      <c r="AP346">
        <v>45</v>
      </c>
      <c r="AQ346">
        <v>54</v>
      </c>
      <c r="AR346">
        <v>114</v>
      </c>
      <c r="AS346">
        <v>160</v>
      </c>
      <c r="AT346">
        <v>204</v>
      </c>
      <c r="AU346">
        <v>253</v>
      </c>
      <c r="AV346">
        <v>319</v>
      </c>
      <c r="AW346">
        <v>384</v>
      </c>
      <c r="AX346">
        <v>476</v>
      </c>
      <c r="AY346">
        <v>601</v>
      </c>
      <c r="AZ346">
        <v>766</v>
      </c>
      <c r="BA346">
        <v>977</v>
      </c>
      <c r="BB346">
        <v>1195</v>
      </c>
      <c r="BC346">
        <v>1482</v>
      </c>
      <c r="BD346">
        <v>1809</v>
      </c>
      <c r="BE346">
        <v>2241</v>
      </c>
      <c r="BF346">
        <v>2628</v>
      </c>
      <c r="BG346">
        <v>3016</v>
      </c>
      <c r="BH346">
        <v>3433</v>
      </c>
      <c r="BI346">
        <v>3818</v>
      </c>
      <c r="BJ346">
        <v>4175</v>
      </c>
      <c r="BK346">
        <v>4577</v>
      </c>
      <c r="BL346">
        <v>4951</v>
      </c>
      <c r="BM346">
        <v>5336</v>
      </c>
      <c r="BN346">
        <v>5651</v>
      </c>
      <c r="BO346">
        <v>5991</v>
      </c>
      <c r="BP346">
        <v>6342</v>
      </c>
      <c r="BQ346">
        <v>6713</v>
      </c>
      <c r="BR346">
        <v>7065</v>
      </c>
      <c r="BS346">
        <v>7397</v>
      </c>
      <c r="BT346">
        <v>7659</v>
      </c>
      <c r="BU346">
        <v>7882</v>
      </c>
      <c r="BV346">
        <v>8063</v>
      </c>
      <c r="BW346">
        <v>8224</v>
      </c>
      <c r="BX346">
        <v>8363</v>
      </c>
      <c r="BY346">
        <v>8459</v>
      </c>
      <c r="BZ346">
        <v>8538</v>
      </c>
      <c r="CA346">
        <v>8591</v>
      </c>
      <c r="CB346">
        <v>8632</v>
      </c>
      <c r="CC346">
        <v>8688</v>
      </c>
      <c r="CD346">
        <v>8718</v>
      </c>
      <c r="CE346">
        <v>8744</v>
      </c>
      <c r="CF346">
        <v>8751</v>
      </c>
      <c r="CG346">
        <v>8755</v>
      </c>
      <c r="CH346">
        <v>8759</v>
      </c>
      <c r="CI346">
        <v>8760</v>
      </c>
      <c r="CJ346">
        <v>8760</v>
      </c>
      <c r="CK346">
        <v>8760</v>
      </c>
      <c r="CL346">
        <v>8760</v>
      </c>
      <c r="CM346">
        <v>8760</v>
      </c>
      <c r="CN346">
        <v>8760</v>
      </c>
      <c r="CO346">
        <v>8760</v>
      </c>
      <c r="CP346">
        <v>8760</v>
      </c>
      <c r="CQ346">
        <v>8760</v>
      </c>
      <c r="CR346">
        <v>8760</v>
      </c>
      <c r="CS346">
        <v>8760</v>
      </c>
      <c r="CT346">
        <v>8760</v>
      </c>
      <c r="CU346">
        <v>8760</v>
      </c>
      <c r="CV346">
        <v>8760</v>
      </c>
      <c r="CW346">
        <v>8760</v>
      </c>
      <c r="CX346">
        <v>8760</v>
      </c>
      <c r="CY346">
        <v>8760</v>
      </c>
      <c r="CZ346">
        <v>8760</v>
      </c>
      <c r="DA346">
        <v>8760</v>
      </c>
      <c r="DB346">
        <v>8760</v>
      </c>
      <c r="DD346" s="6">
        <f t="shared" si="0"/>
        <v>33</v>
      </c>
      <c r="DF346" t="e">
        <f t="shared" ca="1" si="1"/>
        <v>#N/A</v>
      </c>
      <c r="DG346" t="e">
        <f t="shared" ca="1" si="2"/>
        <v>#N/A</v>
      </c>
      <c r="DH346" t="e">
        <f t="shared" ca="1" si="3"/>
        <v>#N/A</v>
      </c>
      <c r="DI346" t="e">
        <f t="shared" ca="1" si="4"/>
        <v>#N/A</v>
      </c>
    </row>
    <row r="347" spans="2:113" x14ac:dyDescent="0.25">
      <c r="B347" t="s">
        <v>215</v>
      </c>
      <c r="C347" t="s">
        <v>438</v>
      </c>
      <c r="D347" t="s">
        <v>1026</v>
      </c>
      <c r="E347" t="s">
        <v>1027</v>
      </c>
      <c r="F347">
        <v>102514</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0</v>
      </c>
      <c r="AI347">
        <v>0</v>
      </c>
      <c r="AJ347">
        <v>0</v>
      </c>
      <c r="AK347">
        <v>2</v>
      </c>
      <c r="AL347">
        <v>4</v>
      </c>
      <c r="AM347">
        <v>10</v>
      </c>
      <c r="AN347">
        <v>25</v>
      </c>
      <c r="AO347">
        <v>49</v>
      </c>
      <c r="AP347">
        <v>70</v>
      </c>
      <c r="AQ347">
        <v>116</v>
      </c>
      <c r="AR347">
        <v>150</v>
      </c>
      <c r="AS347">
        <v>190</v>
      </c>
      <c r="AT347">
        <v>235</v>
      </c>
      <c r="AU347">
        <v>286</v>
      </c>
      <c r="AV347">
        <v>349</v>
      </c>
      <c r="AW347">
        <v>431</v>
      </c>
      <c r="AX347">
        <v>543</v>
      </c>
      <c r="AY347">
        <v>684</v>
      </c>
      <c r="AZ347">
        <v>845</v>
      </c>
      <c r="BA347">
        <v>1097</v>
      </c>
      <c r="BB347">
        <v>1388</v>
      </c>
      <c r="BC347">
        <v>1709</v>
      </c>
      <c r="BD347">
        <v>2079</v>
      </c>
      <c r="BE347">
        <v>2487</v>
      </c>
      <c r="BF347">
        <v>2879</v>
      </c>
      <c r="BG347">
        <v>3260</v>
      </c>
      <c r="BH347">
        <v>3654</v>
      </c>
      <c r="BI347">
        <v>4014</v>
      </c>
      <c r="BJ347">
        <v>4355</v>
      </c>
      <c r="BK347">
        <v>4649</v>
      </c>
      <c r="BL347">
        <v>4965</v>
      </c>
      <c r="BM347">
        <v>5284</v>
      </c>
      <c r="BN347">
        <v>5523</v>
      </c>
      <c r="BO347">
        <v>5775</v>
      </c>
      <c r="BP347">
        <v>6100</v>
      </c>
      <c r="BQ347">
        <v>6458</v>
      </c>
      <c r="BR347">
        <v>6806</v>
      </c>
      <c r="BS347">
        <v>7168</v>
      </c>
      <c r="BT347">
        <v>7453</v>
      </c>
      <c r="BU347">
        <v>7719</v>
      </c>
      <c r="BV347">
        <v>7958</v>
      </c>
      <c r="BW347">
        <v>8144</v>
      </c>
      <c r="BX347">
        <v>8308</v>
      </c>
      <c r="BY347">
        <v>8449</v>
      </c>
      <c r="BZ347">
        <v>8555</v>
      </c>
      <c r="CA347">
        <v>8631</v>
      </c>
      <c r="CB347">
        <v>8675</v>
      </c>
      <c r="CC347">
        <v>8714</v>
      </c>
      <c r="CD347">
        <v>8729</v>
      </c>
      <c r="CE347">
        <v>8741</v>
      </c>
      <c r="CF347">
        <v>8748</v>
      </c>
      <c r="CG347">
        <v>8754</v>
      </c>
      <c r="CH347">
        <v>8758</v>
      </c>
      <c r="CI347">
        <v>8760</v>
      </c>
      <c r="CJ347">
        <v>8760</v>
      </c>
      <c r="CK347">
        <v>8760</v>
      </c>
      <c r="CL347">
        <v>8760</v>
      </c>
      <c r="CM347">
        <v>8760</v>
      </c>
      <c r="CN347">
        <v>8760</v>
      </c>
      <c r="CO347">
        <v>8760</v>
      </c>
      <c r="CP347">
        <v>8760</v>
      </c>
      <c r="CQ347">
        <v>8760</v>
      </c>
      <c r="CR347">
        <v>8760</v>
      </c>
      <c r="CS347">
        <v>8760</v>
      </c>
      <c r="CT347">
        <v>8760</v>
      </c>
      <c r="CU347">
        <v>8760</v>
      </c>
      <c r="CV347">
        <v>8760</v>
      </c>
      <c r="CW347">
        <v>8760</v>
      </c>
      <c r="CX347">
        <v>8760</v>
      </c>
      <c r="CY347">
        <v>8760</v>
      </c>
      <c r="CZ347">
        <v>8760</v>
      </c>
      <c r="DA347">
        <v>8760</v>
      </c>
      <c r="DB347">
        <v>8760</v>
      </c>
      <c r="DD347" s="6">
        <f t="shared" si="0"/>
        <v>32</v>
      </c>
      <c r="DF347" t="e">
        <f t="shared" ca="1" si="1"/>
        <v>#N/A</v>
      </c>
      <c r="DG347" t="e">
        <f t="shared" ca="1" si="2"/>
        <v>#N/A</v>
      </c>
      <c r="DH347" t="e">
        <f t="shared" ca="1" si="3"/>
        <v>#N/A</v>
      </c>
      <c r="DI347" t="e">
        <f t="shared" ca="1" si="4"/>
        <v>#N/A</v>
      </c>
    </row>
    <row r="348" spans="2:113" x14ac:dyDescent="0.25">
      <c r="B348" t="s">
        <v>216</v>
      </c>
      <c r="C348" t="s">
        <v>438</v>
      </c>
      <c r="D348" t="s">
        <v>782</v>
      </c>
      <c r="E348" t="s">
        <v>1028</v>
      </c>
      <c r="F348">
        <v>102131</v>
      </c>
      <c r="G348">
        <v>0</v>
      </c>
      <c r="H348">
        <v>0</v>
      </c>
      <c r="I348">
        <v>0</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0</v>
      </c>
      <c r="AJ348">
        <v>0</v>
      </c>
      <c r="AK348">
        <v>0</v>
      </c>
      <c r="AL348">
        <v>0</v>
      </c>
      <c r="AM348">
        <v>0</v>
      </c>
      <c r="AN348">
        <v>0</v>
      </c>
      <c r="AO348">
        <v>1</v>
      </c>
      <c r="AP348">
        <v>4</v>
      </c>
      <c r="AQ348">
        <v>7</v>
      </c>
      <c r="AR348">
        <v>18</v>
      </c>
      <c r="AS348">
        <v>38</v>
      </c>
      <c r="AT348">
        <v>64</v>
      </c>
      <c r="AU348">
        <v>93</v>
      </c>
      <c r="AV348">
        <v>126</v>
      </c>
      <c r="AW348">
        <v>185</v>
      </c>
      <c r="AX348">
        <v>267</v>
      </c>
      <c r="AY348">
        <v>373</v>
      </c>
      <c r="AZ348">
        <v>496</v>
      </c>
      <c r="BA348">
        <v>660</v>
      </c>
      <c r="BB348">
        <v>850</v>
      </c>
      <c r="BC348">
        <v>1086</v>
      </c>
      <c r="BD348">
        <v>1428</v>
      </c>
      <c r="BE348">
        <v>1820</v>
      </c>
      <c r="BF348">
        <v>2218</v>
      </c>
      <c r="BG348">
        <v>2670</v>
      </c>
      <c r="BH348">
        <v>3244</v>
      </c>
      <c r="BI348">
        <v>3696</v>
      </c>
      <c r="BJ348">
        <v>4103</v>
      </c>
      <c r="BK348">
        <v>4421</v>
      </c>
      <c r="BL348">
        <v>4695</v>
      </c>
      <c r="BM348">
        <v>4958</v>
      </c>
      <c r="BN348">
        <v>5211</v>
      </c>
      <c r="BO348">
        <v>5562</v>
      </c>
      <c r="BP348">
        <v>6002</v>
      </c>
      <c r="BQ348">
        <v>6475</v>
      </c>
      <c r="BR348">
        <v>6893</v>
      </c>
      <c r="BS348">
        <v>7303</v>
      </c>
      <c r="BT348">
        <v>7646</v>
      </c>
      <c r="BU348">
        <v>7935</v>
      </c>
      <c r="BV348">
        <v>8122</v>
      </c>
      <c r="BW348">
        <v>8270</v>
      </c>
      <c r="BX348">
        <v>8377</v>
      </c>
      <c r="BY348">
        <v>8478</v>
      </c>
      <c r="BZ348">
        <v>8552</v>
      </c>
      <c r="CA348">
        <v>8601</v>
      </c>
      <c r="CB348">
        <v>8645</v>
      </c>
      <c r="CC348">
        <v>8689</v>
      </c>
      <c r="CD348">
        <v>8708</v>
      </c>
      <c r="CE348">
        <v>8723</v>
      </c>
      <c r="CF348">
        <v>8739</v>
      </c>
      <c r="CG348">
        <v>8749</v>
      </c>
      <c r="CH348">
        <v>8757</v>
      </c>
      <c r="CI348">
        <v>8760</v>
      </c>
      <c r="CJ348">
        <v>8760</v>
      </c>
      <c r="CK348">
        <v>8760</v>
      </c>
      <c r="CL348">
        <v>8760</v>
      </c>
      <c r="CM348">
        <v>8760</v>
      </c>
      <c r="CN348">
        <v>8760</v>
      </c>
      <c r="CO348">
        <v>8760</v>
      </c>
      <c r="CP348">
        <v>8760</v>
      </c>
      <c r="CQ348">
        <v>8760</v>
      </c>
      <c r="CR348">
        <v>8760</v>
      </c>
      <c r="CS348">
        <v>8760</v>
      </c>
      <c r="CT348">
        <v>8760</v>
      </c>
      <c r="CU348">
        <v>8760</v>
      </c>
      <c r="CV348">
        <v>8760</v>
      </c>
      <c r="CW348">
        <v>8760</v>
      </c>
      <c r="CX348">
        <v>8760</v>
      </c>
      <c r="CY348">
        <v>8760</v>
      </c>
      <c r="CZ348">
        <v>8760</v>
      </c>
      <c r="DA348">
        <v>8760</v>
      </c>
      <c r="DB348">
        <v>8760</v>
      </c>
      <c r="DD348" s="6">
        <f t="shared" si="0"/>
        <v>31</v>
      </c>
      <c r="DF348" t="e">
        <f t="shared" ca="1" si="1"/>
        <v>#N/A</v>
      </c>
      <c r="DG348" t="e">
        <f t="shared" ca="1" si="2"/>
        <v>#N/A</v>
      </c>
      <c r="DH348" t="e">
        <f t="shared" ca="1" si="3"/>
        <v>#N/A</v>
      </c>
      <c r="DI348" t="e">
        <f t="shared" ca="1" si="4"/>
        <v>#N/A</v>
      </c>
    </row>
    <row r="349" spans="2:113" x14ac:dyDescent="0.25">
      <c r="B349" t="s">
        <v>430</v>
      </c>
      <c r="C349" t="s">
        <v>438</v>
      </c>
      <c r="D349" t="s">
        <v>1029</v>
      </c>
      <c r="E349" t="s">
        <v>1030</v>
      </c>
      <c r="F349">
        <v>102816</v>
      </c>
      <c r="G349">
        <v>0</v>
      </c>
      <c r="H349">
        <v>0</v>
      </c>
      <c r="I349">
        <v>0</v>
      </c>
      <c r="J349">
        <v>0</v>
      </c>
      <c r="K349">
        <v>0</v>
      </c>
      <c r="L349">
        <v>0</v>
      </c>
      <c r="M349">
        <v>0</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0</v>
      </c>
      <c r="AH349">
        <v>0</v>
      </c>
      <c r="AI349">
        <v>8</v>
      </c>
      <c r="AJ349">
        <v>12</v>
      </c>
      <c r="AK349">
        <v>25</v>
      </c>
      <c r="AL349">
        <v>52</v>
      </c>
      <c r="AM349">
        <v>94</v>
      </c>
      <c r="AN349">
        <v>116</v>
      </c>
      <c r="AO349">
        <v>159</v>
      </c>
      <c r="AP349">
        <v>204</v>
      </c>
      <c r="AQ349">
        <v>250</v>
      </c>
      <c r="AR349">
        <v>312</v>
      </c>
      <c r="AS349">
        <v>390</v>
      </c>
      <c r="AT349">
        <v>476</v>
      </c>
      <c r="AU349">
        <v>584</v>
      </c>
      <c r="AV349">
        <v>718</v>
      </c>
      <c r="AW349">
        <v>845</v>
      </c>
      <c r="AX349">
        <v>986</v>
      </c>
      <c r="AY349">
        <v>1156</v>
      </c>
      <c r="AZ349">
        <v>1391</v>
      </c>
      <c r="BA349">
        <v>1682</v>
      </c>
      <c r="BB349">
        <v>2001</v>
      </c>
      <c r="BC349">
        <v>2341</v>
      </c>
      <c r="BD349">
        <v>2806</v>
      </c>
      <c r="BE349">
        <v>3334</v>
      </c>
      <c r="BF349">
        <v>3800</v>
      </c>
      <c r="BG349">
        <v>4172</v>
      </c>
      <c r="BH349">
        <v>4493</v>
      </c>
      <c r="BI349">
        <v>4741</v>
      </c>
      <c r="BJ349">
        <v>5017</v>
      </c>
      <c r="BK349">
        <v>5296</v>
      </c>
      <c r="BL349">
        <v>5599</v>
      </c>
      <c r="BM349">
        <v>5916</v>
      </c>
      <c r="BN349">
        <v>6249</v>
      </c>
      <c r="BO349">
        <v>6566</v>
      </c>
      <c r="BP349">
        <v>6843</v>
      </c>
      <c r="BQ349">
        <v>7185</v>
      </c>
      <c r="BR349">
        <v>7538</v>
      </c>
      <c r="BS349">
        <v>7832</v>
      </c>
      <c r="BT349">
        <v>8064</v>
      </c>
      <c r="BU349">
        <v>8242</v>
      </c>
      <c r="BV349">
        <v>8373</v>
      </c>
      <c r="BW349">
        <v>8506</v>
      </c>
      <c r="BX349">
        <v>8604</v>
      </c>
      <c r="BY349">
        <v>8681</v>
      </c>
      <c r="BZ349">
        <v>8725</v>
      </c>
      <c r="CA349">
        <v>8751</v>
      </c>
      <c r="CB349">
        <v>8760</v>
      </c>
      <c r="CC349">
        <v>8760</v>
      </c>
      <c r="CD349">
        <v>8760</v>
      </c>
      <c r="CE349">
        <v>8760</v>
      </c>
      <c r="CF349">
        <v>8760</v>
      </c>
      <c r="CG349">
        <v>8760</v>
      </c>
      <c r="CH349">
        <v>8760</v>
      </c>
      <c r="CI349">
        <v>8760</v>
      </c>
      <c r="CJ349">
        <v>8760</v>
      </c>
      <c r="CK349">
        <v>8760</v>
      </c>
      <c r="CL349">
        <v>8760</v>
      </c>
      <c r="CM349">
        <v>8760</v>
      </c>
      <c r="CN349">
        <v>8760</v>
      </c>
      <c r="CO349">
        <v>8760</v>
      </c>
      <c r="CP349">
        <v>8760</v>
      </c>
      <c r="CQ349">
        <v>8760</v>
      </c>
      <c r="CR349">
        <v>8760</v>
      </c>
      <c r="CS349">
        <v>8760</v>
      </c>
      <c r="CT349">
        <v>8760</v>
      </c>
      <c r="CU349">
        <v>8760</v>
      </c>
      <c r="CV349">
        <v>8760</v>
      </c>
      <c r="CW349">
        <v>8760</v>
      </c>
      <c r="CX349">
        <v>8760</v>
      </c>
      <c r="CY349">
        <v>8760</v>
      </c>
      <c r="CZ349">
        <v>8760</v>
      </c>
      <c r="DA349">
        <v>8760</v>
      </c>
      <c r="DB349">
        <v>8760</v>
      </c>
      <c r="DD349" s="6">
        <f t="shared" si="0"/>
        <v>30</v>
      </c>
      <c r="DF349" t="e">
        <f t="shared" ca="1" si="1"/>
        <v>#N/A</v>
      </c>
      <c r="DG349" t="e">
        <f t="shared" ca="1" si="2"/>
        <v>#N/A</v>
      </c>
      <c r="DH349" t="e">
        <f t="shared" ca="1" si="3"/>
        <v>#N/A</v>
      </c>
      <c r="DI349" t="e">
        <f t="shared" ca="1" si="4"/>
        <v>#N/A</v>
      </c>
    </row>
    <row r="350" spans="2:113" x14ac:dyDescent="0.25">
      <c r="B350" t="s">
        <v>223</v>
      </c>
      <c r="C350" t="s">
        <v>438</v>
      </c>
      <c r="D350" t="s">
        <v>431</v>
      </c>
      <c r="E350" t="s">
        <v>432</v>
      </c>
      <c r="F350">
        <v>102810</v>
      </c>
      <c r="G350">
        <v>0</v>
      </c>
      <c r="H350">
        <v>0</v>
      </c>
      <c r="I350">
        <v>0</v>
      </c>
      <c r="J350">
        <v>0</v>
      </c>
      <c r="K350">
        <v>0</v>
      </c>
      <c r="L350">
        <v>0</v>
      </c>
      <c r="M350">
        <v>0</v>
      </c>
      <c r="N350">
        <v>0</v>
      </c>
      <c r="O350">
        <v>0</v>
      </c>
      <c r="P350">
        <v>0</v>
      </c>
      <c r="Q350">
        <v>0</v>
      </c>
      <c r="R350">
        <v>0</v>
      </c>
      <c r="S350">
        <v>0</v>
      </c>
      <c r="T350">
        <v>0</v>
      </c>
      <c r="U350">
        <v>0</v>
      </c>
      <c r="V350">
        <v>0</v>
      </c>
      <c r="W350">
        <v>0</v>
      </c>
      <c r="X350">
        <v>0</v>
      </c>
      <c r="Y350">
        <v>0</v>
      </c>
      <c r="Z350">
        <v>0</v>
      </c>
      <c r="AA350">
        <v>0</v>
      </c>
      <c r="AB350">
        <v>0</v>
      </c>
      <c r="AC350">
        <v>0</v>
      </c>
      <c r="AD350">
        <v>1</v>
      </c>
      <c r="AE350">
        <v>3</v>
      </c>
      <c r="AF350">
        <v>3</v>
      </c>
      <c r="AG350">
        <v>13</v>
      </c>
      <c r="AH350">
        <v>23</v>
      </c>
      <c r="AI350">
        <v>38</v>
      </c>
      <c r="AJ350">
        <v>52</v>
      </c>
      <c r="AK350">
        <v>65</v>
      </c>
      <c r="AL350">
        <v>73</v>
      </c>
      <c r="AM350">
        <v>92</v>
      </c>
      <c r="AN350">
        <v>108</v>
      </c>
      <c r="AO350">
        <v>132</v>
      </c>
      <c r="AP350">
        <v>163</v>
      </c>
      <c r="AQ350">
        <v>212</v>
      </c>
      <c r="AR350">
        <v>274</v>
      </c>
      <c r="AS350">
        <v>343</v>
      </c>
      <c r="AT350">
        <v>468</v>
      </c>
      <c r="AU350">
        <v>600</v>
      </c>
      <c r="AV350">
        <v>749</v>
      </c>
      <c r="AW350">
        <v>948</v>
      </c>
      <c r="AX350">
        <v>1232</v>
      </c>
      <c r="AY350">
        <v>1510</v>
      </c>
      <c r="AZ350">
        <v>1799</v>
      </c>
      <c r="BA350">
        <v>2153</v>
      </c>
      <c r="BB350">
        <v>2493</v>
      </c>
      <c r="BC350">
        <v>2863</v>
      </c>
      <c r="BD350">
        <v>3240</v>
      </c>
      <c r="BE350">
        <v>3693</v>
      </c>
      <c r="BF350">
        <v>4058</v>
      </c>
      <c r="BG350">
        <v>4414</v>
      </c>
      <c r="BH350">
        <v>4753</v>
      </c>
      <c r="BI350">
        <v>5109</v>
      </c>
      <c r="BJ350">
        <v>5436</v>
      </c>
      <c r="BK350">
        <v>5729</v>
      </c>
      <c r="BL350">
        <v>6016</v>
      </c>
      <c r="BM350">
        <v>6334</v>
      </c>
      <c r="BN350">
        <v>6680</v>
      </c>
      <c r="BO350">
        <v>7016</v>
      </c>
      <c r="BP350">
        <v>7330</v>
      </c>
      <c r="BQ350">
        <v>7612</v>
      </c>
      <c r="BR350">
        <v>7886</v>
      </c>
      <c r="BS350">
        <v>8131</v>
      </c>
      <c r="BT350">
        <v>8277</v>
      </c>
      <c r="BU350">
        <v>8397</v>
      </c>
      <c r="BV350">
        <v>8500</v>
      </c>
      <c r="BW350">
        <v>8582</v>
      </c>
      <c r="BX350">
        <v>8628</v>
      </c>
      <c r="BY350">
        <v>8662</v>
      </c>
      <c r="BZ350">
        <v>8691</v>
      </c>
      <c r="CA350">
        <v>8718</v>
      </c>
      <c r="CB350">
        <v>8733</v>
      </c>
      <c r="CC350">
        <v>8746</v>
      </c>
      <c r="CD350">
        <v>8752</v>
      </c>
      <c r="CE350">
        <v>8754</v>
      </c>
      <c r="CF350">
        <v>8755</v>
      </c>
      <c r="CG350">
        <v>8758</v>
      </c>
      <c r="CH350">
        <v>8760</v>
      </c>
      <c r="CI350">
        <v>8760</v>
      </c>
      <c r="CJ350">
        <v>8760</v>
      </c>
      <c r="CK350">
        <v>8760</v>
      </c>
      <c r="CL350">
        <v>8760</v>
      </c>
      <c r="CM350">
        <v>8760</v>
      </c>
      <c r="CN350">
        <v>8760</v>
      </c>
      <c r="CO350">
        <v>8760</v>
      </c>
      <c r="CP350">
        <v>8760</v>
      </c>
      <c r="CQ350">
        <v>8760</v>
      </c>
      <c r="CR350">
        <v>8760</v>
      </c>
      <c r="CS350">
        <v>8760</v>
      </c>
      <c r="CT350">
        <v>8760</v>
      </c>
      <c r="CU350">
        <v>8760</v>
      </c>
      <c r="CV350">
        <v>8760</v>
      </c>
      <c r="CW350">
        <v>8760</v>
      </c>
      <c r="CX350">
        <v>8760</v>
      </c>
      <c r="CY350">
        <v>8760</v>
      </c>
      <c r="CZ350">
        <v>8760</v>
      </c>
      <c r="DA350">
        <v>8760</v>
      </c>
      <c r="DB350">
        <v>8760</v>
      </c>
      <c r="DD350" s="6">
        <f t="shared" si="0"/>
        <v>29</v>
      </c>
      <c r="DF350" t="e">
        <f t="shared" ca="1" si="1"/>
        <v>#N/A</v>
      </c>
      <c r="DG350" t="e">
        <f t="shared" ca="1" si="2"/>
        <v>#N/A</v>
      </c>
      <c r="DH350" t="e">
        <f t="shared" ca="1" si="3"/>
        <v>#N/A</v>
      </c>
      <c r="DI350" t="e">
        <f t="shared" ca="1" si="4"/>
        <v>#N/A</v>
      </c>
    </row>
    <row r="351" spans="2:113" x14ac:dyDescent="0.25">
      <c r="B351" t="s">
        <v>222</v>
      </c>
      <c r="C351" t="s">
        <v>438</v>
      </c>
      <c r="D351" t="s">
        <v>1031</v>
      </c>
      <c r="E351" t="s">
        <v>1032</v>
      </c>
      <c r="F351">
        <v>102644</v>
      </c>
      <c r="G351">
        <v>0</v>
      </c>
      <c r="H351">
        <v>0</v>
      </c>
      <c r="I351">
        <v>0</v>
      </c>
      <c r="J351">
        <v>0</v>
      </c>
      <c r="K351">
        <v>0</v>
      </c>
      <c r="L351">
        <v>0</v>
      </c>
      <c r="M351">
        <v>0</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0</v>
      </c>
      <c r="AH351">
        <v>0</v>
      </c>
      <c r="AI351">
        <v>0</v>
      </c>
      <c r="AJ351">
        <v>0</v>
      </c>
      <c r="AK351">
        <v>0</v>
      </c>
      <c r="AL351">
        <v>0</v>
      </c>
      <c r="AM351">
        <v>0</v>
      </c>
      <c r="AN351">
        <v>0</v>
      </c>
      <c r="AO351">
        <v>0</v>
      </c>
      <c r="AP351">
        <v>4</v>
      </c>
      <c r="AQ351">
        <v>15</v>
      </c>
      <c r="AR351">
        <v>49</v>
      </c>
      <c r="AS351">
        <v>89</v>
      </c>
      <c r="AT351">
        <v>117</v>
      </c>
      <c r="AU351">
        <v>157</v>
      </c>
      <c r="AV351">
        <v>220</v>
      </c>
      <c r="AW351">
        <v>277</v>
      </c>
      <c r="AX351">
        <v>349</v>
      </c>
      <c r="AY351">
        <v>441</v>
      </c>
      <c r="AZ351">
        <v>584</v>
      </c>
      <c r="BA351">
        <v>772</v>
      </c>
      <c r="BB351">
        <v>1056</v>
      </c>
      <c r="BC351">
        <v>1411</v>
      </c>
      <c r="BD351">
        <v>1792</v>
      </c>
      <c r="BE351">
        <v>2295</v>
      </c>
      <c r="BF351">
        <v>2702</v>
      </c>
      <c r="BG351">
        <v>3124</v>
      </c>
      <c r="BH351">
        <v>3524</v>
      </c>
      <c r="BI351">
        <v>3873</v>
      </c>
      <c r="BJ351">
        <v>4125</v>
      </c>
      <c r="BK351">
        <v>4430</v>
      </c>
      <c r="BL351">
        <v>4707</v>
      </c>
      <c r="BM351">
        <v>5064</v>
      </c>
      <c r="BN351">
        <v>5414</v>
      </c>
      <c r="BO351">
        <v>5722</v>
      </c>
      <c r="BP351">
        <v>6066</v>
      </c>
      <c r="BQ351">
        <v>6428</v>
      </c>
      <c r="BR351">
        <v>6861</v>
      </c>
      <c r="BS351">
        <v>7248</v>
      </c>
      <c r="BT351">
        <v>7603</v>
      </c>
      <c r="BU351">
        <v>7884</v>
      </c>
      <c r="BV351">
        <v>8108</v>
      </c>
      <c r="BW351">
        <v>8300</v>
      </c>
      <c r="BX351">
        <v>8470</v>
      </c>
      <c r="BY351">
        <v>8599</v>
      </c>
      <c r="BZ351">
        <v>8662</v>
      </c>
      <c r="CA351">
        <v>8709</v>
      </c>
      <c r="CB351">
        <v>8749</v>
      </c>
      <c r="CC351">
        <v>8760</v>
      </c>
      <c r="CD351">
        <v>8760</v>
      </c>
      <c r="CE351">
        <v>8760</v>
      </c>
      <c r="CF351">
        <v>8760</v>
      </c>
      <c r="CG351">
        <v>8760</v>
      </c>
      <c r="CH351">
        <v>8760</v>
      </c>
      <c r="CI351">
        <v>8760</v>
      </c>
      <c r="CJ351">
        <v>8760</v>
      </c>
      <c r="CK351">
        <v>8760</v>
      </c>
      <c r="CL351">
        <v>8760</v>
      </c>
      <c r="CM351">
        <v>8760</v>
      </c>
      <c r="CN351">
        <v>8760</v>
      </c>
      <c r="CO351">
        <v>8760</v>
      </c>
      <c r="CP351">
        <v>8760</v>
      </c>
      <c r="CQ351">
        <v>8760</v>
      </c>
      <c r="CR351">
        <v>8760</v>
      </c>
      <c r="CS351">
        <v>8760</v>
      </c>
      <c r="CT351">
        <v>8760</v>
      </c>
      <c r="CU351">
        <v>8760</v>
      </c>
      <c r="CV351">
        <v>8760</v>
      </c>
      <c r="CW351">
        <v>8760</v>
      </c>
      <c r="CX351">
        <v>8760</v>
      </c>
      <c r="CY351">
        <v>8760</v>
      </c>
      <c r="CZ351">
        <v>8760</v>
      </c>
      <c r="DA351">
        <v>8760</v>
      </c>
      <c r="DB351">
        <v>8760</v>
      </c>
      <c r="DD351" s="6">
        <f t="shared" si="0"/>
        <v>28</v>
      </c>
      <c r="DF351" t="e">
        <f t="shared" ca="1" si="1"/>
        <v>#N/A</v>
      </c>
      <c r="DG351" t="e">
        <f t="shared" ca="1" si="2"/>
        <v>#N/A</v>
      </c>
      <c r="DH351" t="e">
        <f t="shared" ca="1" si="3"/>
        <v>#N/A</v>
      </c>
      <c r="DI351" t="e">
        <f t="shared" ca="1" si="4"/>
        <v>#N/A</v>
      </c>
    </row>
    <row r="352" spans="2:113" x14ac:dyDescent="0.25">
      <c r="B352" t="s">
        <v>433</v>
      </c>
      <c r="C352" t="s">
        <v>438</v>
      </c>
      <c r="D352" t="s">
        <v>1033</v>
      </c>
      <c r="E352" t="s">
        <v>1034</v>
      </c>
      <c r="F352">
        <v>102620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v>0</v>
      </c>
      <c r="AM352">
        <v>7</v>
      </c>
      <c r="AN352">
        <v>13</v>
      </c>
      <c r="AO352">
        <v>18</v>
      </c>
      <c r="AP352">
        <v>20</v>
      </c>
      <c r="AQ352">
        <v>32</v>
      </c>
      <c r="AR352">
        <v>54</v>
      </c>
      <c r="AS352">
        <v>77</v>
      </c>
      <c r="AT352">
        <v>108</v>
      </c>
      <c r="AU352">
        <v>174</v>
      </c>
      <c r="AV352">
        <v>253</v>
      </c>
      <c r="AW352">
        <v>377</v>
      </c>
      <c r="AX352">
        <v>538</v>
      </c>
      <c r="AY352">
        <v>707</v>
      </c>
      <c r="AZ352">
        <v>919</v>
      </c>
      <c r="BA352">
        <v>1141</v>
      </c>
      <c r="BB352">
        <v>1414</v>
      </c>
      <c r="BC352">
        <v>1758</v>
      </c>
      <c r="BD352">
        <v>2124</v>
      </c>
      <c r="BE352">
        <v>2555</v>
      </c>
      <c r="BF352">
        <v>2977</v>
      </c>
      <c r="BG352">
        <v>3389</v>
      </c>
      <c r="BH352">
        <v>3740</v>
      </c>
      <c r="BI352">
        <v>4027</v>
      </c>
      <c r="BJ352">
        <v>4347</v>
      </c>
      <c r="BK352">
        <v>4678</v>
      </c>
      <c r="BL352">
        <v>5006</v>
      </c>
      <c r="BM352">
        <v>5346</v>
      </c>
      <c r="BN352">
        <v>5705</v>
      </c>
      <c r="BO352">
        <v>6047</v>
      </c>
      <c r="BP352">
        <v>6336</v>
      </c>
      <c r="BQ352">
        <v>6730</v>
      </c>
      <c r="BR352">
        <v>7119</v>
      </c>
      <c r="BS352">
        <v>7447</v>
      </c>
      <c r="BT352">
        <v>7748</v>
      </c>
      <c r="BU352">
        <v>8019</v>
      </c>
      <c r="BV352">
        <v>8201</v>
      </c>
      <c r="BW352">
        <v>8376</v>
      </c>
      <c r="BX352">
        <v>8502</v>
      </c>
      <c r="BY352">
        <v>8591</v>
      </c>
      <c r="BZ352">
        <v>8655</v>
      </c>
      <c r="CA352">
        <v>8688</v>
      </c>
      <c r="CB352">
        <v>8709</v>
      </c>
      <c r="CC352">
        <v>8733</v>
      </c>
      <c r="CD352">
        <v>8748</v>
      </c>
      <c r="CE352">
        <v>8753</v>
      </c>
      <c r="CF352">
        <v>8759</v>
      </c>
      <c r="CG352">
        <v>8760</v>
      </c>
      <c r="CH352">
        <v>8760</v>
      </c>
      <c r="CI352">
        <v>8760</v>
      </c>
      <c r="CJ352">
        <v>8760</v>
      </c>
      <c r="CK352">
        <v>8760</v>
      </c>
      <c r="CL352">
        <v>8760</v>
      </c>
      <c r="CM352">
        <v>8760</v>
      </c>
      <c r="CN352">
        <v>8760</v>
      </c>
      <c r="CO352">
        <v>8760</v>
      </c>
      <c r="CP352">
        <v>8760</v>
      </c>
      <c r="CQ352">
        <v>8760</v>
      </c>
      <c r="CR352">
        <v>8760</v>
      </c>
      <c r="CS352">
        <v>8760</v>
      </c>
      <c r="CT352">
        <v>8760</v>
      </c>
      <c r="CU352">
        <v>8760</v>
      </c>
      <c r="CV352">
        <v>8760</v>
      </c>
      <c r="CW352">
        <v>8760</v>
      </c>
      <c r="CX352">
        <v>8760</v>
      </c>
      <c r="CY352">
        <v>8760</v>
      </c>
      <c r="CZ352">
        <v>8760</v>
      </c>
      <c r="DA352">
        <v>8760</v>
      </c>
      <c r="DB352">
        <v>8760</v>
      </c>
      <c r="DD352" s="6">
        <f t="shared" si="0"/>
        <v>27</v>
      </c>
      <c r="DF352" t="e">
        <f t="shared" ca="1" si="1"/>
        <v>#N/A</v>
      </c>
      <c r="DG352" t="e">
        <f t="shared" ca="1" si="2"/>
        <v>#N/A</v>
      </c>
      <c r="DH352" t="e">
        <f t="shared" ca="1" si="3"/>
        <v>#N/A</v>
      </c>
      <c r="DI352" t="e">
        <f t="shared" ca="1" si="4"/>
        <v>#N/A</v>
      </c>
    </row>
    <row r="353" spans="1:132" x14ac:dyDescent="0.25">
      <c r="B353" t="s">
        <v>225</v>
      </c>
      <c r="C353" t="s">
        <v>438</v>
      </c>
      <c r="D353" t="s">
        <v>1035</v>
      </c>
      <c r="E353" t="s">
        <v>1036</v>
      </c>
      <c r="F353">
        <v>102522</v>
      </c>
      <c r="G353">
        <v>0</v>
      </c>
      <c r="H353">
        <v>0</v>
      </c>
      <c r="I353">
        <v>0</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0</v>
      </c>
      <c r="AH353">
        <v>0</v>
      </c>
      <c r="AI353">
        <v>5</v>
      </c>
      <c r="AJ353">
        <v>23</v>
      </c>
      <c r="AK353">
        <v>50</v>
      </c>
      <c r="AL353">
        <v>94</v>
      </c>
      <c r="AM353">
        <v>126</v>
      </c>
      <c r="AN353">
        <v>166</v>
      </c>
      <c r="AO353">
        <v>205</v>
      </c>
      <c r="AP353">
        <v>260</v>
      </c>
      <c r="AQ353">
        <v>343</v>
      </c>
      <c r="AR353">
        <v>416</v>
      </c>
      <c r="AS353">
        <v>505</v>
      </c>
      <c r="AT353">
        <v>615</v>
      </c>
      <c r="AU353">
        <v>727</v>
      </c>
      <c r="AV353">
        <v>839</v>
      </c>
      <c r="AW353">
        <v>955</v>
      </c>
      <c r="AX353">
        <v>1089</v>
      </c>
      <c r="AY353">
        <v>1238</v>
      </c>
      <c r="AZ353">
        <v>1472</v>
      </c>
      <c r="BA353">
        <v>1775</v>
      </c>
      <c r="BB353">
        <v>2104</v>
      </c>
      <c r="BC353">
        <v>2488</v>
      </c>
      <c r="BD353">
        <v>2923</v>
      </c>
      <c r="BE353">
        <v>3392</v>
      </c>
      <c r="BF353">
        <v>3739</v>
      </c>
      <c r="BG353">
        <v>4064</v>
      </c>
      <c r="BH353">
        <v>4327</v>
      </c>
      <c r="BI353">
        <v>4592</v>
      </c>
      <c r="BJ353">
        <v>4897</v>
      </c>
      <c r="BK353">
        <v>5160</v>
      </c>
      <c r="BL353">
        <v>5431</v>
      </c>
      <c r="BM353">
        <v>5720</v>
      </c>
      <c r="BN353">
        <v>6029</v>
      </c>
      <c r="BO353">
        <v>6319</v>
      </c>
      <c r="BP353">
        <v>6647</v>
      </c>
      <c r="BQ353">
        <v>6969</v>
      </c>
      <c r="BR353">
        <v>7265</v>
      </c>
      <c r="BS353">
        <v>7515</v>
      </c>
      <c r="BT353">
        <v>7761</v>
      </c>
      <c r="BU353">
        <v>7991</v>
      </c>
      <c r="BV353">
        <v>8160</v>
      </c>
      <c r="BW353">
        <v>8302</v>
      </c>
      <c r="BX353">
        <v>8395</v>
      </c>
      <c r="BY353">
        <v>8475</v>
      </c>
      <c r="BZ353">
        <v>8542</v>
      </c>
      <c r="CA353">
        <v>8611</v>
      </c>
      <c r="CB353">
        <v>8661</v>
      </c>
      <c r="CC353">
        <v>8701</v>
      </c>
      <c r="CD353">
        <v>8739</v>
      </c>
      <c r="CE353">
        <v>8753</v>
      </c>
      <c r="CF353">
        <v>8759</v>
      </c>
      <c r="CG353">
        <v>8760</v>
      </c>
      <c r="CH353">
        <v>8760</v>
      </c>
      <c r="CI353">
        <v>8760</v>
      </c>
      <c r="CJ353">
        <v>8760</v>
      </c>
      <c r="CK353">
        <v>8760</v>
      </c>
      <c r="CL353">
        <v>8760</v>
      </c>
      <c r="CM353">
        <v>8760</v>
      </c>
      <c r="CN353">
        <v>8760</v>
      </c>
      <c r="CO353">
        <v>8760</v>
      </c>
      <c r="CP353">
        <v>8760</v>
      </c>
      <c r="CQ353">
        <v>8760</v>
      </c>
      <c r="CR353">
        <v>8760</v>
      </c>
      <c r="CS353">
        <v>8760</v>
      </c>
      <c r="CT353">
        <v>8760</v>
      </c>
      <c r="CU353">
        <v>8760</v>
      </c>
      <c r="CV353">
        <v>8760</v>
      </c>
      <c r="CW353">
        <v>8760</v>
      </c>
      <c r="CX353">
        <v>8760</v>
      </c>
      <c r="CY353">
        <v>8760</v>
      </c>
      <c r="CZ353">
        <v>8760</v>
      </c>
      <c r="DA353">
        <v>8760</v>
      </c>
      <c r="DB353">
        <v>8760</v>
      </c>
      <c r="DD353" s="6">
        <f t="shared" si="0"/>
        <v>26</v>
      </c>
      <c r="DF353" t="e">
        <f t="shared" ca="1" si="1"/>
        <v>#N/A</v>
      </c>
      <c r="DG353" t="e">
        <f t="shared" ca="1" si="2"/>
        <v>#N/A</v>
      </c>
      <c r="DH353" t="e">
        <f t="shared" ca="1" si="3"/>
        <v>#N/A</v>
      </c>
      <c r="DI353" t="e">
        <f t="shared" ca="1" si="4"/>
        <v>#N/A</v>
      </c>
    </row>
    <row r="354" spans="1:132" x14ac:dyDescent="0.25">
      <c r="B354" t="s">
        <v>226</v>
      </c>
      <c r="C354" t="s">
        <v>438</v>
      </c>
      <c r="D354" t="s">
        <v>1037</v>
      </c>
      <c r="E354" t="s">
        <v>1038</v>
      </c>
      <c r="F354">
        <v>102009</v>
      </c>
      <c r="G354">
        <v>0</v>
      </c>
      <c r="H354">
        <v>0</v>
      </c>
      <c r="I354">
        <v>0</v>
      </c>
      <c r="J354">
        <v>0</v>
      </c>
      <c r="K354">
        <v>0</v>
      </c>
      <c r="L354">
        <v>0</v>
      </c>
      <c r="M354">
        <v>0</v>
      </c>
      <c r="N354">
        <v>0</v>
      </c>
      <c r="O354">
        <v>0</v>
      </c>
      <c r="P354">
        <v>0</v>
      </c>
      <c r="Q354">
        <v>0</v>
      </c>
      <c r="R354">
        <v>0</v>
      </c>
      <c r="S354">
        <v>0</v>
      </c>
      <c r="T354">
        <v>0</v>
      </c>
      <c r="U354">
        <v>0</v>
      </c>
      <c r="V354">
        <v>0</v>
      </c>
      <c r="W354">
        <v>0</v>
      </c>
      <c r="X354">
        <v>0</v>
      </c>
      <c r="Y354">
        <v>0</v>
      </c>
      <c r="Z354">
        <v>0</v>
      </c>
      <c r="AA354">
        <v>3</v>
      </c>
      <c r="AB354">
        <v>8</v>
      </c>
      <c r="AC354">
        <v>40</v>
      </c>
      <c r="AD354">
        <v>69</v>
      </c>
      <c r="AE354">
        <v>103</v>
      </c>
      <c r="AF354">
        <v>149</v>
      </c>
      <c r="AG354">
        <v>214</v>
      </c>
      <c r="AH354">
        <v>260</v>
      </c>
      <c r="AI354">
        <v>300</v>
      </c>
      <c r="AJ354">
        <v>342</v>
      </c>
      <c r="AK354">
        <v>395</v>
      </c>
      <c r="AL354">
        <v>455</v>
      </c>
      <c r="AM354">
        <v>513</v>
      </c>
      <c r="AN354">
        <v>577</v>
      </c>
      <c r="AO354">
        <v>677</v>
      </c>
      <c r="AP354">
        <v>776</v>
      </c>
      <c r="AQ354">
        <v>865</v>
      </c>
      <c r="AR354">
        <v>970</v>
      </c>
      <c r="AS354">
        <v>1102</v>
      </c>
      <c r="AT354">
        <v>1256</v>
      </c>
      <c r="AU354">
        <v>1398</v>
      </c>
      <c r="AV354">
        <v>1547</v>
      </c>
      <c r="AW354">
        <v>1737</v>
      </c>
      <c r="AX354">
        <v>1991</v>
      </c>
      <c r="AY354">
        <v>2231</v>
      </c>
      <c r="AZ354">
        <v>2499</v>
      </c>
      <c r="BA354">
        <v>2816</v>
      </c>
      <c r="BB354">
        <v>3128</v>
      </c>
      <c r="BC354">
        <v>3425</v>
      </c>
      <c r="BD354">
        <v>3717</v>
      </c>
      <c r="BE354">
        <v>4189</v>
      </c>
      <c r="BF354">
        <v>4507</v>
      </c>
      <c r="BG354">
        <v>4757</v>
      </c>
      <c r="BH354">
        <v>5010</v>
      </c>
      <c r="BI354">
        <v>5250</v>
      </c>
      <c r="BJ354">
        <v>5507</v>
      </c>
      <c r="BK354">
        <v>5743</v>
      </c>
      <c r="BL354">
        <v>5982</v>
      </c>
      <c r="BM354">
        <v>6259</v>
      </c>
      <c r="BN354">
        <v>6500</v>
      </c>
      <c r="BO354">
        <v>6727</v>
      </c>
      <c r="BP354">
        <v>6983</v>
      </c>
      <c r="BQ354">
        <v>7246</v>
      </c>
      <c r="BR354">
        <v>7486</v>
      </c>
      <c r="BS354">
        <v>7776</v>
      </c>
      <c r="BT354">
        <v>7980</v>
      </c>
      <c r="BU354">
        <v>8132</v>
      </c>
      <c r="BV354">
        <v>8276</v>
      </c>
      <c r="BW354">
        <v>8378</v>
      </c>
      <c r="BX354">
        <v>8480</v>
      </c>
      <c r="BY354">
        <v>8561</v>
      </c>
      <c r="BZ354">
        <v>8629</v>
      </c>
      <c r="CA354">
        <v>8682</v>
      </c>
      <c r="CB354">
        <v>8712</v>
      </c>
      <c r="CC354">
        <v>8741</v>
      </c>
      <c r="CD354">
        <v>8752</v>
      </c>
      <c r="CE354">
        <v>8759</v>
      </c>
      <c r="CF354">
        <v>8760</v>
      </c>
      <c r="CG354">
        <v>8760</v>
      </c>
      <c r="CH354">
        <v>8760</v>
      </c>
      <c r="CI354">
        <v>8760</v>
      </c>
      <c r="CJ354">
        <v>8760</v>
      </c>
      <c r="CK354">
        <v>8760</v>
      </c>
      <c r="CL354">
        <v>8760</v>
      </c>
      <c r="CM354">
        <v>8760</v>
      </c>
      <c r="CN354">
        <v>8760</v>
      </c>
      <c r="CO354">
        <v>8760</v>
      </c>
      <c r="CP354">
        <v>8760</v>
      </c>
      <c r="CQ354">
        <v>8760</v>
      </c>
      <c r="CR354">
        <v>8760</v>
      </c>
      <c r="CS354">
        <v>8760</v>
      </c>
      <c r="CT354">
        <v>8760</v>
      </c>
      <c r="CU354">
        <v>8760</v>
      </c>
      <c r="CV354">
        <v>8760</v>
      </c>
      <c r="CW354">
        <v>8760</v>
      </c>
      <c r="CX354">
        <v>8760</v>
      </c>
      <c r="CY354">
        <v>8760</v>
      </c>
      <c r="CZ354">
        <v>8760</v>
      </c>
      <c r="DA354">
        <v>8760</v>
      </c>
      <c r="DB354">
        <v>8760</v>
      </c>
      <c r="DD354" s="6">
        <f t="shared" si="0"/>
        <v>25</v>
      </c>
      <c r="DF354" t="e">
        <f t="shared" ca="1" si="1"/>
        <v>#N/A</v>
      </c>
      <c r="DG354" t="e">
        <f t="shared" ca="1" si="2"/>
        <v>#N/A</v>
      </c>
      <c r="DH354" t="e">
        <f t="shared" ca="1" si="3"/>
        <v>#N/A</v>
      </c>
      <c r="DI354" t="e">
        <f t="shared" ca="1" si="4"/>
        <v>#N/A</v>
      </c>
    </row>
    <row r="355" spans="1:132" x14ac:dyDescent="0.25">
      <c r="B355" t="s">
        <v>227</v>
      </c>
      <c r="C355" t="s">
        <v>438</v>
      </c>
      <c r="D355" t="s">
        <v>1039</v>
      </c>
      <c r="E355" t="s">
        <v>1040</v>
      </c>
      <c r="F355">
        <v>102024</v>
      </c>
      <c r="G355">
        <v>0</v>
      </c>
      <c r="H355">
        <v>0</v>
      </c>
      <c r="I355">
        <v>0</v>
      </c>
      <c r="J355">
        <v>0</v>
      </c>
      <c r="K355">
        <v>0</v>
      </c>
      <c r="L355">
        <v>0</v>
      </c>
      <c r="M355">
        <v>0</v>
      </c>
      <c r="N355">
        <v>0</v>
      </c>
      <c r="O355">
        <v>0</v>
      </c>
      <c r="P355">
        <v>0</v>
      </c>
      <c r="Q355">
        <v>0</v>
      </c>
      <c r="R355">
        <v>0</v>
      </c>
      <c r="S355">
        <v>0</v>
      </c>
      <c r="T355">
        <v>0</v>
      </c>
      <c r="U355">
        <v>0</v>
      </c>
      <c r="V355">
        <v>0</v>
      </c>
      <c r="W355">
        <v>0</v>
      </c>
      <c r="X355">
        <v>1</v>
      </c>
      <c r="Y355">
        <v>5</v>
      </c>
      <c r="Z355">
        <v>22</v>
      </c>
      <c r="AA355">
        <v>32</v>
      </c>
      <c r="AB355">
        <v>61</v>
      </c>
      <c r="AC355">
        <v>74</v>
      </c>
      <c r="AD355">
        <v>93</v>
      </c>
      <c r="AE355">
        <v>130</v>
      </c>
      <c r="AF355">
        <v>190</v>
      </c>
      <c r="AG355">
        <v>225</v>
      </c>
      <c r="AH355">
        <v>253</v>
      </c>
      <c r="AI355">
        <v>293</v>
      </c>
      <c r="AJ355">
        <v>365</v>
      </c>
      <c r="AK355">
        <v>438</v>
      </c>
      <c r="AL355">
        <v>515</v>
      </c>
      <c r="AM355">
        <v>561</v>
      </c>
      <c r="AN355">
        <v>630</v>
      </c>
      <c r="AO355">
        <v>739</v>
      </c>
      <c r="AP355">
        <v>846</v>
      </c>
      <c r="AQ355">
        <v>965</v>
      </c>
      <c r="AR355">
        <v>1095</v>
      </c>
      <c r="AS355">
        <v>1216</v>
      </c>
      <c r="AT355">
        <v>1360</v>
      </c>
      <c r="AU355">
        <v>1530</v>
      </c>
      <c r="AV355">
        <v>1662</v>
      </c>
      <c r="AW355">
        <v>1843</v>
      </c>
      <c r="AX355">
        <v>2059</v>
      </c>
      <c r="AY355">
        <v>2290</v>
      </c>
      <c r="AZ355">
        <v>2535</v>
      </c>
      <c r="BA355">
        <v>2798</v>
      </c>
      <c r="BB355">
        <v>3083</v>
      </c>
      <c r="BC355">
        <v>3415</v>
      </c>
      <c r="BD355">
        <v>3774</v>
      </c>
      <c r="BE355">
        <v>4159</v>
      </c>
      <c r="BF355">
        <v>4522</v>
      </c>
      <c r="BG355">
        <v>4860</v>
      </c>
      <c r="BH355">
        <v>5088</v>
      </c>
      <c r="BI355">
        <v>5282</v>
      </c>
      <c r="BJ355">
        <v>5484</v>
      </c>
      <c r="BK355">
        <v>5746</v>
      </c>
      <c r="BL355">
        <v>5987</v>
      </c>
      <c r="BM355">
        <v>6202</v>
      </c>
      <c r="BN355">
        <v>6463</v>
      </c>
      <c r="BO355">
        <v>6712</v>
      </c>
      <c r="BP355">
        <v>6932</v>
      </c>
      <c r="BQ355">
        <v>7249</v>
      </c>
      <c r="BR355">
        <v>7544</v>
      </c>
      <c r="BS355">
        <v>7774</v>
      </c>
      <c r="BT355">
        <v>7950</v>
      </c>
      <c r="BU355">
        <v>8162</v>
      </c>
      <c r="BV355">
        <v>8325</v>
      </c>
      <c r="BW355">
        <v>8439</v>
      </c>
      <c r="BX355">
        <v>8526</v>
      </c>
      <c r="BY355">
        <v>8602</v>
      </c>
      <c r="BZ355">
        <v>8647</v>
      </c>
      <c r="CA355">
        <v>8684</v>
      </c>
      <c r="CB355">
        <v>8717</v>
      </c>
      <c r="CC355">
        <v>8748</v>
      </c>
      <c r="CD355">
        <v>8759</v>
      </c>
      <c r="CE355">
        <v>8760</v>
      </c>
      <c r="CF355">
        <v>8760</v>
      </c>
      <c r="CG355">
        <v>8760</v>
      </c>
      <c r="CH355">
        <v>8760</v>
      </c>
      <c r="CI355">
        <v>8760</v>
      </c>
      <c r="CJ355">
        <v>8760</v>
      </c>
      <c r="CK355">
        <v>8760</v>
      </c>
      <c r="CL355">
        <v>8760</v>
      </c>
      <c r="CM355">
        <v>8760</v>
      </c>
      <c r="CN355">
        <v>8760</v>
      </c>
      <c r="CO355">
        <v>8760</v>
      </c>
      <c r="CP355">
        <v>8760</v>
      </c>
      <c r="CQ355">
        <v>8760</v>
      </c>
      <c r="CR355">
        <v>8760</v>
      </c>
      <c r="CS355">
        <v>8760</v>
      </c>
      <c r="CT355">
        <v>8760</v>
      </c>
      <c r="CU355">
        <v>8760</v>
      </c>
      <c r="CV355">
        <v>8760</v>
      </c>
      <c r="CW355">
        <v>8760</v>
      </c>
      <c r="CX355">
        <v>8760</v>
      </c>
      <c r="CY355">
        <v>8760</v>
      </c>
      <c r="CZ355">
        <v>8760</v>
      </c>
      <c r="DA355">
        <v>8760</v>
      </c>
      <c r="DB355">
        <v>8760</v>
      </c>
      <c r="DD355" s="6">
        <f t="shared" si="0"/>
        <v>24</v>
      </c>
      <c r="DF355" t="e">
        <f t="shared" ca="1" si="1"/>
        <v>#N/A</v>
      </c>
      <c r="DG355" t="e">
        <f t="shared" ca="1" si="2"/>
        <v>#N/A</v>
      </c>
      <c r="DH355" t="e">
        <f t="shared" ca="1" si="3"/>
        <v>#N/A</v>
      </c>
      <c r="DI355" t="e">
        <f t="shared" ca="1" si="4"/>
        <v>#N/A</v>
      </c>
    </row>
    <row r="356" spans="1:132" x14ac:dyDescent="0.25">
      <c r="A356" s="12"/>
      <c r="DD356" s="6">
        <f>DD357+1</f>
        <v>23</v>
      </c>
      <c r="DF356" t="e">
        <f t="shared" ca="1" si="1"/>
        <v>#N/A</v>
      </c>
      <c r="DG356" t="e">
        <f ca="1">DF356+DG357</f>
        <v>#N/A</v>
      </c>
      <c r="DH356" t="e">
        <f ca="1">-DF357/DG356+DH357</f>
        <v>#N/A</v>
      </c>
      <c r="DI356" t="e">
        <f t="shared" ca="1" si="4"/>
        <v>#N/A</v>
      </c>
    </row>
    <row r="357" spans="1:132" x14ac:dyDescent="0.25">
      <c r="A357" t="str">
        <f>Normalår!D1</f>
        <v>DalsEds</v>
      </c>
      <c r="B357" t="e">
        <f>MATCH(A357,B2:B355,0)+1</f>
        <v>#N/A</v>
      </c>
      <c r="G357">
        <f t="shared" ref="G357:AL357" si="5">G1</f>
        <v>-50</v>
      </c>
      <c r="H357">
        <f t="shared" si="5"/>
        <v>-49</v>
      </c>
      <c r="I357">
        <f t="shared" si="5"/>
        <v>-48</v>
      </c>
      <c r="J357">
        <f t="shared" si="5"/>
        <v>-47</v>
      </c>
      <c r="K357">
        <f t="shared" si="5"/>
        <v>-46</v>
      </c>
      <c r="L357">
        <f t="shared" si="5"/>
        <v>-45</v>
      </c>
      <c r="M357">
        <f t="shared" si="5"/>
        <v>-44</v>
      </c>
      <c r="N357">
        <f t="shared" si="5"/>
        <v>-43</v>
      </c>
      <c r="O357">
        <f t="shared" si="5"/>
        <v>-42</v>
      </c>
      <c r="P357">
        <f t="shared" si="5"/>
        <v>-41</v>
      </c>
      <c r="Q357">
        <f t="shared" si="5"/>
        <v>-40</v>
      </c>
      <c r="R357">
        <f t="shared" si="5"/>
        <v>-39</v>
      </c>
      <c r="S357">
        <f t="shared" si="5"/>
        <v>-38</v>
      </c>
      <c r="T357">
        <f t="shared" si="5"/>
        <v>-37</v>
      </c>
      <c r="U357">
        <f t="shared" si="5"/>
        <v>-36</v>
      </c>
      <c r="V357">
        <f t="shared" si="5"/>
        <v>-35</v>
      </c>
      <c r="W357">
        <f t="shared" si="5"/>
        <v>-34</v>
      </c>
      <c r="X357">
        <f t="shared" si="5"/>
        <v>-33</v>
      </c>
      <c r="Y357">
        <f t="shared" si="5"/>
        <v>-32</v>
      </c>
      <c r="Z357">
        <f t="shared" si="5"/>
        <v>-31</v>
      </c>
      <c r="AA357">
        <f t="shared" si="5"/>
        <v>-30</v>
      </c>
      <c r="AB357">
        <f t="shared" si="5"/>
        <v>-29</v>
      </c>
      <c r="AC357">
        <f t="shared" si="5"/>
        <v>-28</v>
      </c>
      <c r="AD357">
        <f t="shared" si="5"/>
        <v>-27</v>
      </c>
      <c r="AE357">
        <f t="shared" si="5"/>
        <v>-26</v>
      </c>
      <c r="AF357">
        <f t="shared" si="5"/>
        <v>-25</v>
      </c>
      <c r="AG357">
        <f t="shared" si="5"/>
        <v>-24</v>
      </c>
      <c r="AH357">
        <f t="shared" si="5"/>
        <v>-23</v>
      </c>
      <c r="AI357">
        <f t="shared" si="5"/>
        <v>-22</v>
      </c>
      <c r="AJ357">
        <f t="shared" si="5"/>
        <v>-21</v>
      </c>
      <c r="AK357">
        <f t="shared" si="5"/>
        <v>-20</v>
      </c>
      <c r="AL357">
        <f t="shared" si="5"/>
        <v>-19</v>
      </c>
      <c r="AM357">
        <f t="shared" ref="AM357:BR357" si="6">AM1</f>
        <v>-18</v>
      </c>
      <c r="AN357">
        <f t="shared" si="6"/>
        <v>-17</v>
      </c>
      <c r="AO357">
        <f t="shared" si="6"/>
        <v>-16</v>
      </c>
      <c r="AP357">
        <f t="shared" si="6"/>
        <v>-15</v>
      </c>
      <c r="AQ357">
        <f t="shared" si="6"/>
        <v>-14</v>
      </c>
      <c r="AR357">
        <f t="shared" si="6"/>
        <v>-13</v>
      </c>
      <c r="AS357">
        <f t="shared" si="6"/>
        <v>-12</v>
      </c>
      <c r="AT357">
        <f t="shared" si="6"/>
        <v>-11</v>
      </c>
      <c r="AU357">
        <f t="shared" si="6"/>
        <v>-10</v>
      </c>
      <c r="AV357">
        <f t="shared" si="6"/>
        <v>-9</v>
      </c>
      <c r="AW357">
        <f t="shared" si="6"/>
        <v>-8</v>
      </c>
      <c r="AX357">
        <f t="shared" si="6"/>
        <v>-7</v>
      </c>
      <c r="AY357">
        <f t="shared" si="6"/>
        <v>-6</v>
      </c>
      <c r="AZ357">
        <f t="shared" si="6"/>
        <v>-5</v>
      </c>
      <c r="BA357">
        <f t="shared" si="6"/>
        <v>-4</v>
      </c>
      <c r="BB357">
        <f t="shared" si="6"/>
        <v>-3</v>
      </c>
      <c r="BC357">
        <f t="shared" si="6"/>
        <v>-2</v>
      </c>
      <c r="BD357">
        <f t="shared" si="6"/>
        <v>-1</v>
      </c>
      <c r="BE357">
        <f t="shared" si="6"/>
        <v>0</v>
      </c>
      <c r="BF357">
        <f t="shared" si="6"/>
        <v>1</v>
      </c>
      <c r="BG357">
        <f t="shared" si="6"/>
        <v>2</v>
      </c>
      <c r="BH357">
        <f t="shared" si="6"/>
        <v>3</v>
      </c>
      <c r="BI357">
        <f t="shared" si="6"/>
        <v>4</v>
      </c>
      <c r="BJ357">
        <f t="shared" si="6"/>
        <v>5</v>
      </c>
      <c r="BK357">
        <f t="shared" si="6"/>
        <v>6</v>
      </c>
      <c r="BL357">
        <f t="shared" si="6"/>
        <v>7</v>
      </c>
      <c r="BM357">
        <f t="shared" si="6"/>
        <v>8</v>
      </c>
      <c r="BN357">
        <f t="shared" si="6"/>
        <v>9</v>
      </c>
      <c r="BO357">
        <f t="shared" si="6"/>
        <v>10</v>
      </c>
      <c r="BP357">
        <f t="shared" si="6"/>
        <v>11</v>
      </c>
      <c r="BQ357">
        <f t="shared" si="6"/>
        <v>12</v>
      </c>
      <c r="BR357">
        <f t="shared" si="6"/>
        <v>13</v>
      </c>
      <c r="BS357">
        <f t="shared" ref="BS357:DB357" si="7">BS1</f>
        <v>14</v>
      </c>
      <c r="BT357">
        <f t="shared" si="7"/>
        <v>15</v>
      </c>
      <c r="BU357">
        <f t="shared" si="7"/>
        <v>16</v>
      </c>
      <c r="BV357">
        <f t="shared" si="7"/>
        <v>17</v>
      </c>
      <c r="BW357">
        <f t="shared" si="7"/>
        <v>18</v>
      </c>
      <c r="BX357">
        <f t="shared" si="7"/>
        <v>19</v>
      </c>
      <c r="BY357">
        <f t="shared" si="7"/>
        <v>20</v>
      </c>
      <c r="BZ357">
        <f t="shared" si="7"/>
        <v>21</v>
      </c>
      <c r="CA357">
        <f t="shared" si="7"/>
        <v>22</v>
      </c>
      <c r="CB357">
        <f t="shared" si="7"/>
        <v>23</v>
      </c>
      <c r="CC357">
        <f t="shared" si="7"/>
        <v>24</v>
      </c>
      <c r="CD357">
        <f t="shared" si="7"/>
        <v>25</v>
      </c>
      <c r="CE357">
        <f t="shared" si="7"/>
        <v>26</v>
      </c>
      <c r="CF357">
        <f t="shared" si="7"/>
        <v>27</v>
      </c>
      <c r="CG357">
        <f t="shared" si="7"/>
        <v>28</v>
      </c>
      <c r="CH357">
        <f t="shared" si="7"/>
        <v>29</v>
      </c>
      <c r="CI357">
        <f t="shared" si="7"/>
        <v>30</v>
      </c>
      <c r="CJ357">
        <f t="shared" si="7"/>
        <v>31</v>
      </c>
      <c r="CK357">
        <f t="shared" si="7"/>
        <v>32</v>
      </c>
      <c r="CL357">
        <f t="shared" si="7"/>
        <v>33</v>
      </c>
      <c r="CM357">
        <f t="shared" si="7"/>
        <v>34</v>
      </c>
      <c r="CN357">
        <f t="shared" si="7"/>
        <v>35</v>
      </c>
      <c r="CO357">
        <f t="shared" si="7"/>
        <v>36</v>
      </c>
      <c r="CP357">
        <f t="shared" si="7"/>
        <v>37</v>
      </c>
      <c r="CQ357">
        <f t="shared" si="7"/>
        <v>38</v>
      </c>
      <c r="CR357">
        <f t="shared" si="7"/>
        <v>39</v>
      </c>
      <c r="CS357">
        <f t="shared" si="7"/>
        <v>40</v>
      </c>
      <c r="CT357">
        <f t="shared" si="7"/>
        <v>41</v>
      </c>
      <c r="CU357">
        <f t="shared" si="7"/>
        <v>42</v>
      </c>
      <c r="CV357">
        <f t="shared" si="7"/>
        <v>43</v>
      </c>
      <c r="CW357">
        <f t="shared" si="7"/>
        <v>44</v>
      </c>
      <c r="CX357">
        <f t="shared" si="7"/>
        <v>45</v>
      </c>
      <c r="CY357">
        <f t="shared" si="7"/>
        <v>46</v>
      </c>
      <c r="CZ357">
        <f t="shared" si="7"/>
        <v>47</v>
      </c>
      <c r="DA357">
        <f t="shared" si="7"/>
        <v>48</v>
      </c>
      <c r="DB357">
        <f t="shared" si="7"/>
        <v>49</v>
      </c>
      <c r="DD357" s="6">
        <f>DD359+1</f>
        <v>22</v>
      </c>
      <c r="DF357" t="e">
        <f ca="1">INDEX(G$358:DB$358,1,51+DD357)</f>
        <v>#N/A</v>
      </c>
      <c r="DG357" t="e">
        <f ca="1">DF357+DG359</f>
        <v>#N/A</v>
      </c>
      <c r="DH357" t="e">
        <f ca="1">-DF359/DG357</f>
        <v>#N/A</v>
      </c>
      <c r="DI357" t="e">
        <f ca="1">IF(DH357&lt;-1,-1,DH357)</f>
        <v>#N/A</v>
      </c>
    </row>
    <row r="358" spans="1:132" s="12" customFormat="1" x14ac:dyDescent="0.25">
      <c r="A358" t="str">
        <f>Normalår!D1</f>
        <v>DalsEds</v>
      </c>
      <c r="B358" s="12" t="e">
        <f t="shared" ref="B358:AG358" ca="1" si="8">OFFSET(B1,$B$357-1,0,1,1)</f>
        <v>#N/A</v>
      </c>
      <c r="C358" s="12" t="e">
        <f t="shared" ca="1" si="8"/>
        <v>#N/A</v>
      </c>
      <c r="D358" s="12" t="e">
        <f t="shared" ca="1" si="8"/>
        <v>#N/A</v>
      </c>
      <c r="E358" s="12" t="e">
        <f t="shared" ca="1" si="8"/>
        <v>#N/A</v>
      </c>
      <c r="F358" s="12" t="e">
        <f t="shared" ca="1" si="8"/>
        <v>#N/A</v>
      </c>
      <c r="G358" s="12" t="e">
        <f t="shared" ca="1" si="8"/>
        <v>#N/A</v>
      </c>
      <c r="H358" s="12" t="e">
        <f t="shared" ca="1" si="8"/>
        <v>#N/A</v>
      </c>
      <c r="I358" s="12" t="e">
        <f t="shared" ca="1" si="8"/>
        <v>#N/A</v>
      </c>
      <c r="J358" s="12" t="e">
        <f t="shared" ca="1" si="8"/>
        <v>#N/A</v>
      </c>
      <c r="K358" s="12" t="e">
        <f t="shared" ca="1" si="8"/>
        <v>#N/A</v>
      </c>
      <c r="L358" s="12" t="e">
        <f t="shared" ca="1" si="8"/>
        <v>#N/A</v>
      </c>
      <c r="M358" s="12" t="e">
        <f t="shared" ca="1" si="8"/>
        <v>#N/A</v>
      </c>
      <c r="N358" s="12" t="e">
        <f t="shared" ca="1" si="8"/>
        <v>#N/A</v>
      </c>
      <c r="O358" s="12" t="e">
        <f t="shared" ca="1" si="8"/>
        <v>#N/A</v>
      </c>
      <c r="P358" s="12" t="e">
        <f t="shared" ca="1" si="8"/>
        <v>#N/A</v>
      </c>
      <c r="Q358" s="12" t="e">
        <f t="shared" ca="1" si="8"/>
        <v>#N/A</v>
      </c>
      <c r="R358" s="12" t="e">
        <f t="shared" ca="1" si="8"/>
        <v>#N/A</v>
      </c>
      <c r="S358" s="12" t="e">
        <f t="shared" ca="1" si="8"/>
        <v>#N/A</v>
      </c>
      <c r="T358" s="12" t="e">
        <f t="shared" ca="1" si="8"/>
        <v>#N/A</v>
      </c>
      <c r="U358" s="12" t="e">
        <f t="shared" ca="1" si="8"/>
        <v>#N/A</v>
      </c>
      <c r="V358" s="12" t="e">
        <f t="shared" ca="1" si="8"/>
        <v>#N/A</v>
      </c>
      <c r="W358" s="12" t="e">
        <f t="shared" ca="1" si="8"/>
        <v>#N/A</v>
      </c>
      <c r="X358" s="12" t="e">
        <f t="shared" ca="1" si="8"/>
        <v>#N/A</v>
      </c>
      <c r="Y358" s="12" t="e">
        <f t="shared" ca="1" si="8"/>
        <v>#N/A</v>
      </c>
      <c r="Z358" s="12" t="e">
        <f t="shared" ca="1" si="8"/>
        <v>#N/A</v>
      </c>
      <c r="AA358" s="12" t="e">
        <f t="shared" ca="1" si="8"/>
        <v>#N/A</v>
      </c>
      <c r="AB358" s="12" t="e">
        <f t="shared" ca="1" si="8"/>
        <v>#N/A</v>
      </c>
      <c r="AC358" s="12" t="e">
        <f t="shared" ca="1" si="8"/>
        <v>#N/A</v>
      </c>
      <c r="AD358" s="12" t="e">
        <f t="shared" ca="1" si="8"/>
        <v>#N/A</v>
      </c>
      <c r="AE358" s="12" t="e">
        <f t="shared" ca="1" si="8"/>
        <v>#N/A</v>
      </c>
      <c r="AF358" s="12" t="e">
        <f t="shared" ca="1" si="8"/>
        <v>#N/A</v>
      </c>
      <c r="AG358" s="12" t="e">
        <f t="shared" ca="1" si="8"/>
        <v>#N/A</v>
      </c>
      <c r="AH358" s="12" t="e">
        <f t="shared" ref="AH358:BM358" ca="1" si="9">OFFSET(AH1,$B$357-1,0,1,1)</f>
        <v>#N/A</v>
      </c>
      <c r="AI358" s="12" t="e">
        <f t="shared" ca="1" si="9"/>
        <v>#N/A</v>
      </c>
      <c r="AJ358" s="12" t="e">
        <f t="shared" ca="1" si="9"/>
        <v>#N/A</v>
      </c>
      <c r="AK358" s="12" t="e">
        <f t="shared" ca="1" si="9"/>
        <v>#N/A</v>
      </c>
      <c r="AL358" s="12" t="e">
        <f t="shared" ca="1" si="9"/>
        <v>#N/A</v>
      </c>
      <c r="AM358" s="12" t="e">
        <f t="shared" ca="1" si="9"/>
        <v>#N/A</v>
      </c>
      <c r="AN358" s="12" t="e">
        <f t="shared" ca="1" si="9"/>
        <v>#N/A</v>
      </c>
      <c r="AO358" s="12" t="e">
        <f t="shared" ca="1" si="9"/>
        <v>#N/A</v>
      </c>
      <c r="AP358" s="12" t="e">
        <f t="shared" ca="1" si="9"/>
        <v>#N/A</v>
      </c>
      <c r="AQ358" s="12" t="e">
        <f t="shared" ca="1" si="9"/>
        <v>#N/A</v>
      </c>
      <c r="AR358" s="12" t="e">
        <f t="shared" ca="1" si="9"/>
        <v>#N/A</v>
      </c>
      <c r="AS358" s="12" t="e">
        <f t="shared" ca="1" si="9"/>
        <v>#N/A</v>
      </c>
      <c r="AT358" s="12" t="e">
        <f t="shared" ca="1" si="9"/>
        <v>#N/A</v>
      </c>
      <c r="AU358" s="12" t="e">
        <f t="shared" ca="1" si="9"/>
        <v>#N/A</v>
      </c>
      <c r="AV358" s="12" t="e">
        <f t="shared" ca="1" si="9"/>
        <v>#N/A</v>
      </c>
      <c r="AW358" s="12" t="e">
        <f t="shared" ca="1" si="9"/>
        <v>#N/A</v>
      </c>
      <c r="AX358" s="12" t="e">
        <f t="shared" ca="1" si="9"/>
        <v>#N/A</v>
      </c>
      <c r="AY358" s="12" t="e">
        <f t="shared" ca="1" si="9"/>
        <v>#N/A</v>
      </c>
      <c r="AZ358" s="12" t="e">
        <f t="shared" ca="1" si="9"/>
        <v>#N/A</v>
      </c>
      <c r="BA358" s="12" t="e">
        <f t="shared" ca="1" si="9"/>
        <v>#N/A</v>
      </c>
      <c r="BB358" s="12" t="e">
        <f t="shared" ca="1" si="9"/>
        <v>#N/A</v>
      </c>
      <c r="BC358" s="12" t="e">
        <f t="shared" ca="1" si="9"/>
        <v>#N/A</v>
      </c>
      <c r="BD358" s="12" t="e">
        <f t="shared" ca="1" si="9"/>
        <v>#N/A</v>
      </c>
      <c r="BE358" s="12" t="e">
        <f t="shared" ca="1" si="9"/>
        <v>#N/A</v>
      </c>
      <c r="BF358" s="12" t="e">
        <f t="shared" ca="1" si="9"/>
        <v>#N/A</v>
      </c>
      <c r="BG358" s="12" t="e">
        <f t="shared" ca="1" si="9"/>
        <v>#N/A</v>
      </c>
      <c r="BH358" s="12" t="e">
        <f t="shared" ca="1" si="9"/>
        <v>#N/A</v>
      </c>
      <c r="BI358" s="12" t="e">
        <f t="shared" ca="1" si="9"/>
        <v>#N/A</v>
      </c>
      <c r="BJ358" s="12" t="e">
        <f t="shared" ca="1" si="9"/>
        <v>#N/A</v>
      </c>
      <c r="BK358" s="12" t="e">
        <f t="shared" ca="1" si="9"/>
        <v>#N/A</v>
      </c>
      <c r="BL358" s="12" t="e">
        <f t="shared" ca="1" si="9"/>
        <v>#N/A</v>
      </c>
      <c r="BM358" s="12" t="e">
        <f t="shared" ca="1" si="9"/>
        <v>#N/A</v>
      </c>
      <c r="BN358" s="12" t="e">
        <f t="shared" ref="BN358:CS358" ca="1" si="10">OFFSET(BN1,$B$357-1,0,1,1)</f>
        <v>#N/A</v>
      </c>
      <c r="BO358" s="12" t="e">
        <f t="shared" ca="1" si="10"/>
        <v>#N/A</v>
      </c>
      <c r="BP358" s="12" t="e">
        <f t="shared" ca="1" si="10"/>
        <v>#N/A</v>
      </c>
      <c r="BQ358" s="12" t="e">
        <f t="shared" ca="1" si="10"/>
        <v>#N/A</v>
      </c>
      <c r="BR358" s="12" t="e">
        <f t="shared" ca="1" si="10"/>
        <v>#N/A</v>
      </c>
      <c r="BS358" s="12" t="e">
        <f t="shared" ca="1" si="10"/>
        <v>#N/A</v>
      </c>
      <c r="BT358" s="12" t="e">
        <f t="shared" ca="1" si="10"/>
        <v>#N/A</v>
      </c>
      <c r="BU358" s="12" t="e">
        <f t="shared" ca="1" si="10"/>
        <v>#N/A</v>
      </c>
      <c r="BV358" s="12" t="e">
        <f t="shared" ca="1" si="10"/>
        <v>#N/A</v>
      </c>
      <c r="BW358" s="12" t="e">
        <f t="shared" ca="1" si="10"/>
        <v>#N/A</v>
      </c>
      <c r="BX358" s="12" t="e">
        <f t="shared" ca="1" si="10"/>
        <v>#N/A</v>
      </c>
      <c r="BY358" s="12" t="e">
        <f ca="1">OFFSET(BY1,$B$357-1,0,1,1)</f>
        <v>#N/A</v>
      </c>
      <c r="BZ358" s="12" t="e">
        <f t="shared" ca="1" si="10"/>
        <v>#N/A</v>
      </c>
      <c r="CA358" s="12" t="e">
        <f t="shared" ca="1" si="10"/>
        <v>#N/A</v>
      </c>
      <c r="CB358" s="12" t="e">
        <f t="shared" ca="1" si="10"/>
        <v>#N/A</v>
      </c>
      <c r="CC358" s="12" t="e">
        <f t="shared" ca="1" si="10"/>
        <v>#N/A</v>
      </c>
      <c r="CD358" s="12" t="e">
        <f t="shared" ca="1" si="10"/>
        <v>#N/A</v>
      </c>
      <c r="CE358" s="12" t="e">
        <f t="shared" ca="1" si="10"/>
        <v>#N/A</v>
      </c>
      <c r="CF358" s="12" t="e">
        <f t="shared" ca="1" si="10"/>
        <v>#N/A</v>
      </c>
      <c r="CG358" s="12" t="e">
        <f t="shared" ca="1" si="10"/>
        <v>#N/A</v>
      </c>
      <c r="CH358" s="12" t="e">
        <f t="shared" ca="1" si="10"/>
        <v>#N/A</v>
      </c>
      <c r="CI358" s="12" t="e">
        <f t="shared" ca="1" si="10"/>
        <v>#N/A</v>
      </c>
      <c r="CJ358" s="12" t="e">
        <f t="shared" ca="1" si="10"/>
        <v>#N/A</v>
      </c>
      <c r="CK358" s="12" t="e">
        <f t="shared" ca="1" si="10"/>
        <v>#N/A</v>
      </c>
      <c r="CL358" s="12" t="e">
        <f t="shared" ca="1" si="10"/>
        <v>#N/A</v>
      </c>
      <c r="CM358" s="12" t="e">
        <f t="shared" ca="1" si="10"/>
        <v>#N/A</v>
      </c>
      <c r="CN358" s="12" t="e">
        <f t="shared" ca="1" si="10"/>
        <v>#N/A</v>
      </c>
      <c r="CO358" s="12" t="e">
        <f t="shared" ca="1" si="10"/>
        <v>#N/A</v>
      </c>
      <c r="CP358" s="12" t="e">
        <f t="shared" ca="1" si="10"/>
        <v>#N/A</v>
      </c>
      <c r="CQ358" s="12" t="e">
        <f t="shared" ca="1" si="10"/>
        <v>#N/A</v>
      </c>
      <c r="CR358" s="12" t="e">
        <f t="shared" ca="1" si="10"/>
        <v>#N/A</v>
      </c>
      <c r="CS358" s="12" t="e">
        <f t="shared" ca="1" si="10"/>
        <v>#N/A</v>
      </c>
      <c r="CT358" s="12" t="e">
        <f t="shared" ref="CT358:DB358" ca="1" si="11">OFFSET(CT1,$B$357-1,0,1,1)</f>
        <v>#N/A</v>
      </c>
      <c r="CU358" s="12" t="e">
        <f t="shared" ca="1" si="11"/>
        <v>#N/A</v>
      </c>
      <c r="CV358" s="12" t="e">
        <f t="shared" ca="1" si="11"/>
        <v>#N/A</v>
      </c>
      <c r="CW358" s="12" t="e">
        <f t="shared" ca="1" si="11"/>
        <v>#N/A</v>
      </c>
      <c r="CX358" s="12" t="e">
        <f t="shared" ca="1" si="11"/>
        <v>#N/A</v>
      </c>
      <c r="CY358" s="12" t="e">
        <f t="shared" ca="1" si="11"/>
        <v>#N/A</v>
      </c>
      <c r="CZ358" s="12" t="e">
        <f t="shared" ca="1" si="11"/>
        <v>#N/A</v>
      </c>
      <c r="DA358" s="12" t="e">
        <f t="shared" ca="1" si="11"/>
        <v>#N/A</v>
      </c>
      <c r="DB358" s="12" t="e">
        <f t="shared" ca="1" si="11"/>
        <v>#N/A</v>
      </c>
      <c r="DD358" s="12" t="s">
        <v>1041</v>
      </c>
      <c r="DF358" s="12">
        <v>0</v>
      </c>
      <c r="EB358" s="10"/>
    </row>
    <row r="359" spans="1:132" x14ac:dyDescent="0.25">
      <c r="G359" t="e">
        <f t="shared" ref="G359:P368" ca="1" si="12">IF(G$1&lt;$DD359,G$358,0)</f>
        <v>#N/A</v>
      </c>
      <c r="H359" t="e">
        <f t="shared" ca="1" si="12"/>
        <v>#N/A</v>
      </c>
      <c r="I359" t="e">
        <f t="shared" ca="1" si="12"/>
        <v>#N/A</v>
      </c>
      <c r="J359" t="e">
        <f t="shared" ca="1" si="12"/>
        <v>#N/A</v>
      </c>
      <c r="K359" t="e">
        <f t="shared" ca="1" si="12"/>
        <v>#N/A</v>
      </c>
      <c r="L359" t="e">
        <f t="shared" ca="1" si="12"/>
        <v>#N/A</v>
      </c>
      <c r="M359" t="e">
        <f t="shared" ca="1" si="12"/>
        <v>#N/A</v>
      </c>
      <c r="N359" t="e">
        <f t="shared" ca="1" si="12"/>
        <v>#N/A</v>
      </c>
      <c r="O359" t="e">
        <f t="shared" ca="1" si="12"/>
        <v>#N/A</v>
      </c>
      <c r="P359" t="e">
        <f t="shared" ca="1" si="12"/>
        <v>#N/A</v>
      </c>
      <c r="Q359" t="e">
        <f t="shared" ref="Q359:Z368" ca="1" si="13">IF(Q$1&lt;$DD359,Q$358,0)</f>
        <v>#N/A</v>
      </c>
      <c r="R359" t="e">
        <f t="shared" ca="1" si="13"/>
        <v>#N/A</v>
      </c>
      <c r="S359" t="e">
        <f t="shared" ca="1" si="13"/>
        <v>#N/A</v>
      </c>
      <c r="T359" t="e">
        <f t="shared" ca="1" si="13"/>
        <v>#N/A</v>
      </c>
      <c r="U359" t="e">
        <f t="shared" ca="1" si="13"/>
        <v>#N/A</v>
      </c>
      <c r="V359" t="e">
        <f t="shared" ca="1" si="13"/>
        <v>#N/A</v>
      </c>
      <c r="W359" t="e">
        <f t="shared" ca="1" si="13"/>
        <v>#N/A</v>
      </c>
      <c r="X359" t="e">
        <f t="shared" ca="1" si="13"/>
        <v>#N/A</v>
      </c>
      <c r="Y359" t="e">
        <f t="shared" ca="1" si="13"/>
        <v>#N/A</v>
      </c>
      <c r="Z359" t="e">
        <f t="shared" ca="1" si="13"/>
        <v>#N/A</v>
      </c>
      <c r="AA359" t="e">
        <f t="shared" ref="AA359:AJ368" ca="1" si="14">IF(AA$1&lt;$DD359,AA$358,0)</f>
        <v>#N/A</v>
      </c>
      <c r="AB359" t="e">
        <f t="shared" ca="1" si="14"/>
        <v>#N/A</v>
      </c>
      <c r="AC359" t="e">
        <f t="shared" ca="1" si="14"/>
        <v>#N/A</v>
      </c>
      <c r="AD359" t="e">
        <f t="shared" ca="1" si="14"/>
        <v>#N/A</v>
      </c>
      <c r="AE359" t="e">
        <f t="shared" ca="1" si="14"/>
        <v>#N/A</v>
      </c>
      <c r="AF359" t="e">
        <f t="shared" ca="1" si="14"/>
        <v>#N/A</v>
      </c>
      <c r="AG359" t="e">
        <f t="shared" ca="1" si="14"/>
        <v>#N/A</v>
      </c>
      <c r="AH359" t="e">
        <f t="shared" ca="1" si="14"/>
        <v>#N/A</v>
      </c>
      <c r="AI359" t="e">
        <f t="shared" ca="1" si="14"/>
        <v>#N/A</v>
      </c>
      <c r="AJ359" t="e">
        <f t="shared" ca="1" si="14"/>
        <v>#N/A</v>
      </c>
      <c r="AK359" t="e">
        <f t="shared" ref="AK359:AT368" ca="1" si="15">IF(AK$1&lt;$DD359,AK$358,0)</f>
        <v>#N/A</v>
      </c>
      <c r="AL359" t="e">
        <f t="shared" ca="1" si="15"/>
        <v>#N/A</v>
      </c>
      <c r="AM359" t="e">
        <f t="shared" ca="1" si="15"/>
        <v>#N/A</v>
      </c>
      <c r="AN359" t="e">
        <f t="shared" ca="1" si="15"/>
        <v>#N/A</v>
      </c>
      <c r="AO359" t="e">
        <f t="shared" ca="1" si="15"/>
        <v>#N/A</v>
      </c>
      <c r="AP359" t="e">
        <f t="shared" ca="1" si="15"/>
        <v>#N/A</v>
      </c>
      <c r="AQ359" t="e">
        <f t="shared" ca="1" si="15"/>
        <v>#N/A</v>
      </c>
      <c r="AR359" t="e">
        <f t="shared" ca="1" si="15"/>
        <v>#N/A</v>
      </c>
      <c r="AS359" t="e">
        <f t="shared" ca="1" si="15"/>
        <v>#N/A</v>
      </c>
      <c r="AT359" t="e">
        <f t="shared" ca="1" si="15"/>
        <v>#N/A</v>
      </c>
      <c r="AU359" t="e">
        <f t="shared" ref="AU359:BD368" ca="1" si="16">IF(AU$1&lt;$DD359,AU$358,0)</f>
        <v>#N/A</v>
      </c>
      <c r="AV359" t="e">
        <f t="shared" ca="1" si="16"/>
        <v>#N/A</v>
      </c>
      <c r="AW359" t="e">
        <f t="shared" ca="1" si="16"/>
        <v>#N/A</v>
      </c>
      <c r="AX359" t="e">
        <f t="shared" ca="1" si="16"/>
        <v>#N/A</v>
      </c>
      <c r="AY359" t="e">
        <f t="shared" ca="1" si="16"/>
        <v>#N/A</v>
      </c>
      <c r="AZ359" t="e">
        <f t="shared" ca="1" si="16"/>
        <v>#N/A</v>
      </c>
      <c r="BA359" t="e">
        <f t="shared" ca="1" si="16"/>
        <v>#N/A</v>
      </c>
      <c r="BB359" t="e">
        <f t="shared" ca="1" si="16"/>
        <v>#N/A</v>
      </c>
      <c r="BC359" t="e">
        <f t="shared" ca="1" si="16"/>
        <v>#N/A</v>
      </c>
      <c r="BD359" t="e">
        <f t="shared" ca="1" si="16"/>
        <v>#N/A</v>
      </c>
      <c r="BE359" t="e">
        <f t="shared" ref="BE359:BN368" ca="1" si="17">IF(BE$1&lt;$DD359,BE$358,0)</f>
        <v>#N/A</v>
      </c>
      <c r="BF359" t="e">
        <f t="shared" ca="1" si="17"/>
        <v>#N/A</v>
      </c>
      <c r="BG359" t="e">
        <f t="shared" ca="1" si="17"/>
        <v>#N/A</v>
      </c>
      <c r="BH359" t="e">
        <f t="shared" ca="1" si="17"/>
        <v>#N/A</v>
      </c>
      <c r="BI359" t="e">
        <f t="shared" ca="1" si="17"/>
        <v>#N/A</v>
      </c>
      <c r="BJ359" t="e">
        <f t="shared" ca="1" si="17"/>
        <v>#N/A</v>
      </c>
      <c r="BK359" t="e">
        <f t="shared" ca="1" si="17"/>
        <v>#N/A</v>
      </c>
      <c r="BL359" t="e">
        <f t="shared" ca="1" si="17"/>
        <v>#N/A</v>
      </c>
      <c r="BM359" t="e">
        <f t="shared" ca="1" si="17"/>
        <v>#N/A</v>
      </c>
      <c r="BN359" t="e">
        <f t="shared" ca="1" si="17"/>
        <v>#N/A</v>
      </c>
      <c r="BO359" t="e">
        <f t="shared" ref="BO359:BX368" ca="1" si="18">IF(BO$1&lt;$DD359,BO$358,0)</f>
        <v>#N/A</v>
      </c>
      <c r="BP359" t="e">
        <f t="shared" ca="1" si="18"/>
        <v>#N/A</v>
      </c>
      <c r="BQ359" t="e">
        <f t="shared" ca="1" si="18"/>
        <v>#N/A</v>
      </c>
      <c r="BR359" t="e">
        <f t="shared" ca="1" si="18"/>
        <v>#N/A</v>
      </c>
      <c r="BS359" t="e">
        <f t="shared" ca="1" si="18"/>
        <v>#N/A</v>
      </c>
      <c r="BT359" t="e">
        <f t="shared" ca="1" si="18"/>
        <v>#N/A</v>
      </c>
      <c r="BU359" t="e">
        <f t="shared" ca="1" si="18"/>
        <v>#N/A</v>
      </c>
      <c r="BV359" t="e">
        <f t="shared" ca="1" si="18"/>
        <v>#N/A</v>
      </c>
      <c r="BW359" t="e">
        <f t="shared" ca="1" si="18"/>
        <v>#N/A</v>
      </c>
      <c r="BX359" t="e">
        <f t="shared" ca="1" si="18"/>
        <v>#N/A</v>
      </c>
      <c r="BY359" t="e">
        <f t="shared" ref="BY359:CH368" ca="1" si="19">IF(BY$1&lt;$DD359,BY$358,0)</f>
        <v>#N/A</v>
      </c>
      <c r="BZ359">
        <f t="shared" si="19"/>
        <v>0</v>
      </c>
      <c r="CA359">
        <f t="shared" si="19"/>
        <v>0</v>
      </c>
      <c r="CB359">
        <f t="shared" si="19"/>
        <v>0</v>
      </c>
      <c r="CC359">
        <f t="shared" si="19"/>
        <v>0</v>
      </c>
      <c r="CD359">
        <f t="shared" si="19"/>
        <v>0</v>
      </c>
      <c r="CE359">
        <f t="shared" si="19"/>
        <v>0</v>
      </c>
      <c r="CF359">
        <f t="shared" si="19"/>
        <v>0</v>
      </c>
      <c r="CG359">
        <f t="shared" si="19"/>
        <v>0</v>
      </c>
      <c r="CH359">
        <f t="shared" si="19"/>
        <v>0</v>
      </c>
      <c r="CI359">
        <f t="shared" ref="CI359:CR368" si="20">IF(CI$1&lt;$DD359,CI$358,0)</f>
        <v>0</v>
      </c>
      <c r="CJ359">
        <f t="shared" si="20"/>
        <v>0</v>
      </c>
      <c r="CK359">
        <f t="shared" si="20"/>
        <v>0</v>
      </c>
      <c r="CL359">
        <f t="shared" si="20"/>
        <v>0</v>
      </c>
      <c r="CM359">
        <f t="shared" si="20"/>
        <v>0</v>
      </c>
      <c r="CN359">
        <f t="shared" si="20"/>
        <v>0</v>
      </c>
      <c r="CO359">
        <f t="shared" si="20"/>
        <v>0</v>
      </c>
      <c r="CP359">
        <f t="shared" si="20"/>
        <v>0</v>
      </c>
      <c r="CQ359">
        <f t="shared" si="20"/>
        <v>0</v>
      </c>
      <c r="CR359">
        <f t="shared" si="20"/>
        <v>0</v>
      </c>
      <c r="CS359">
        <f t="shared" ref="CS359:DB368" si="21">IF(CS$1&lt;$DD359,CS$358,0)</f>
        <v>0</v>
      </c>
      <c r="CT359">
        <f t="shared" si="21"/>
        <v>0</v>
      </c>
      <c r="CU359">
        <f t="shared" si="21"/>
        <v>0</v>
      </c>
      <c r="CV359">
        <f t="shared" si="21"/>
        <v>0</v>
      </c>
      <c r="CW359">
        <f t="shared" si="21"/>
        <v>0</v>
      </c>
      <c r="CX359">
        <f t="shared" si="21"/>
        <v>0</v>
      </c>
      <c r="CY359">
        <f t="shared" si="21"/>
        <v>0</v>
      </c>
      <c r="CZ359">
        <f t="shared" si="21"/>
        <v>0</v>
      </c>
      <c r="DA359">
        <f t="shared" si="21"/>
        <v>0</v>
      </c>
      <c r="DB359">
        <f t="shared" si="21"/>
        <v>0</v>
      </c>
      <c r="DD359" s="118">
        <f>Mätvärden!$BO$7</f>
        <v>21</v>
      </c>
      <c r="DF359" t="e">
        <f ca="1">INDEX(G$358:DB$358,1,51+DD359)</f>
        <v>#N/A</v>
      </c>
      <c r="DG359" t="e">
        <f ca="1">SUM(G359:DB359)</f>
        <v>#N/A</v>
      </c>
      <c r="DH359">
        <v>0</v>
      </c>
      <c r="DI359">
        <v>0</v>
      </c>
      <c r="DK359" s="11" t="s">
        <v>1042</v>
      </c>
    </row>
    <row r="360" spans="1:132" x14ac:dyDescent="0.25">
      <c r="G360" t="e">
        <f t="shared" ca="1" si="12"/>
        <v>#N/A</v>
      </c>
      <c r="H360" t="e">
        <f t="shared" ca="1" si="12"/>
        <v>#N/A</v>
      </c>
      <c r="I360" t="e">
        <f t="shared" ca="1" si="12"/>
        <v>#N/A</v>
      </c>
      <c r="J360" t="e">
        <f t="shared" ca="1" si="12"/>
        <v>#N/A</v>
      </c>
      <c r="K360" t="e">
        <f t="shared" ca="1" si="12"/>
        <v>#N/A</v>
      </c>
      <c r="L360" t="e">
        <f t="shared" ca="1" si="12"/>
        <v>#N/A</v>
      </c>
      <c r="M360" t="e">
        <f t="shared" ca="1" si="12"/>
        <v>#N/A</v>
      </c>
      <c r="N360" t="e">
        <f t="shared" ca="1" si="12"/>
        <v>#N/A</v>
      </c>
      <c r="O360" t="e">
        <f t="shared" ca="1" si="12"/>
        <v>#N/A</v>
      </c>
      <c r="P360" t="e">
        <f t="shared" ca="1" si="12"/>
        <v>#N/A</v>
      </c>
      <c r="Q360" t="e">
        <f t="shared" ca="1" si="13"/>
        <v>#N/A</v>
      </c>
      <c r="R360" t="e">
        <f t="shared" ca="1" si="13"/>
        <v>#N/A</v>
      </c>
      <c r="S360" t="e">
        <f t="shared" ca="1" si="13"/>
        <v>#N/A</v>
      </c>
      <c r="T360" t="e">
        <f t="shared" ca="1" si="13"/>
        <v>#N/A</v>
      </c>
      <c r="U360" t="e">
        <f t="shared" ca="1" si="13"/>
        <v>#N/A</v>
      </c>
      <c r="V360" t="e">
        <f t="shared" ca="1" si="13"/>
        <v>#N/A</v>
      </c>
      <c r="W360" t="e">
        <f t="shared" ca="1" si="13"/>
        <v>#N/A</v>
      </c>
      <c r="X360" t="e">
        <f t="shared" ca="1" si="13"/>
        <v>#N/A</v>
      </c>
      <c r="Y360" t="e">
        <f t="shared" ca="1" si="13"/>
        <v>#N/A</v>
      </c>
      <c r="Z360" t="e">
        <f t="shared" ca="1" si="13"/>
        <v>#N/A</v>
      </c>
      <c r="AA360" t="e">
        <f t="shared" ca="1" si="14"/>
        <v>#N/A</v>
      </c>
      <c r="AB360" t="e">
        <f t="shared" ca="1" si="14"/>
        <v>#N/A</v>
      </c>
      <c r="AC360" t="e">
        <f t="shared" ca="1" si="14"/>
        <v>#N/A</v>
      </c>
      <c r="AD360" t="e">
        <f t="shared" ca="1" si="14"/>
        <v>#N/A</v>
      </c>
      <c r="AE360" t="e">
        <f t="shared" ca="1" si="14"/>
        <v>#N/A</v>
      </c>
      <c r="AF360" t="e">
        <f t="shared" ca="1" si="14"/>
        <v>#N/A</v>
      </c>
      <c r="AG360" t="e">
        <f t="shared" ca="1" si="14"/>
        <v>#N/A</v>
      </c>
      <c r="AH360" t="e">
        <f t="shared" ca="1" si="14"/>
        <v>#N/A</v>
      </c>
      <c r="AI360" t="e">
        <f t="shared" ca="1" si="14"/>
        <v>#N/A</v>
      </c>
      <c r="AJ360" t="e">
        <f t="shared" ca="1" si="14"/>
        <v>#N/A</v>
      </c>
      <c r="AK360" t="e">
        <f t="shared" ca="1" si="15"/>
        <v>#N/A</v>
      </c>
      <c r="AL360" t="e">
        <f t="shared" ca="1" si="15"/>
        <v>#N/A</v>
      </c>
      <c r="AM360" t="e">
        <f t="shared" ca="1" si="15"/>
        <v>#N/A</v>
      </c>
      <c r="AN360" t="e">
        <f t="shared" ca="1" si="15"/>
        <v>#N/A</v>
      </c>
      <c r="AO360" t="e">
        <f t="shared" ca="1" si="15"/>
        <v>#N/A</v>
      </c>
      <c r="AP360" t="e">
        <f t="shared" ca="1" si="15"/>
        <v>#N/A</v>
      </c>
      <c r="AQ360" t="e">
        <f t="shared" ca="1" si="15"/>
        <v>#N/A</v>
      </c>
      <c r="AR360" t="e">
        <f t="shared" ca="1" si="15"/>
        <v>#N/A</v>
      </c>
      <c r="AS360" t="e">
        <f t="shared" ca="1" si="15"/>
        <v>#N/A</v>
      </c>
      <c r="AT360" t="e">
        <f t="shared" ca="1" si="15"/>
        <v>#N/A</v>
      </c>
      <c r="AU360" t="e">
        <f t="shared" ca="1" si="16"/>
        <v>#N/A</v>
      </c>
      <c r="AV360" t="e">
        <f t="shared" ca="1" si="16"/>
        <v>#N/A</v>
      </c>
      <c r="AW360" t="e">
        <f t="shared" ca="1" si="16"/>
        <v>#N/A</v>
      </c>
      <c r="AX360" t="e">
        <f t="shared" ca="1" si="16"/>
        <v>#N/A</v>
      </c>
      <c r="AY360" t="e">
        <f t="shared" ca="1" si="16"/>
        <v>#N/A</v>
      </c>
      <c r="AZ360" t="e">
        <f t="shared" ca="1" si="16"/>
        <v>#N/A</v>
      </c>
      <c r="BA360" t="e">
        <f t="shared" ca="1" si="16"/>
        <v>#N/A</v>
      </c>
      <c r="BB360" t="e">
        <f t="shared" ca="1" si="16"/>
        <v>#N/A</v>
      </c>
      <c r="BC360" t="e">
        <f t="shared" ca="1" si="16"/>
        <v>#N/A</v>
      </c>
      <c r="BD360" t="e">
        <f t="shared" ca="1" si="16"/>
        <v>#N/A</v>
      </c>
      <c r="BE360" t="e">
        <f t="shared" ca="1" si="17"/>
        <v>#N/A</v>
      </c>
      <c r="BF360" t="e">
        <f t="shared" ca="1" si="17"/>
        <v>#N/A</v>
      </c>
      <c r="BG360" t="e">
        <f t="shared" ca="1" si="17"/>
        <v>#N/A</v>
      </c>
      <c r="BH360" t="e">
        <f t="shared" ca="1" si="17"/>
        <v>#N/A</v>
      </c>
      <c r="BI360" t="e">
        <f t="shared" ca="1" si="17"/>
        <v>#N/A</v>
      </c>
      <c r="BJ360" t="e">
        <f t="shared" ca="1" si="17"/>
        <v>#N/A</v>
      </c>
      <c r="BK360" t="e">
        <f t="shared" ca="1" si="17"/>
        <v>#N/A</v>
      </c>
      <c r="BL360" t="e">
        <f t="shared" ca="1" si="17"/>
        <v>#N/A</v>
      </c>
      <c r="BM360" t="e">
        <f t="shared" ca="1" si="17"/>
        <v>#N/A</v>
      </c>
      <c r="BN360" t="e">
        <f t="shared" ca="1" si="17"/>
        <v>#N/A</v>
      </c>
      <c r="BO360" t="e">
        <f t="shared" ca="1" si="18"/>
        <v>#N/A</v>
      </c>
      <c r="BP360" t="e">
        <f t="shared" ca="1" si="18"/>
        <v>#N/A</v>
      </c>
      <c r="BQ360" t="e">
        <f t="shared" ca="1" si="18"/>
        <v>#N/A</v>
      </c>
      <c r="BR360" t="e">
        <f t="shared" ca="1" si="18"/>
        <v>#N/A</v>
      </c>
      <c r="BS360" t="e">
        <f t="shared" ca="1" si="18"/>
        <v>#N/A</v>
      </c>
      <c r="BT360" t="e">
        <f t="shared" ca="1" si="18"/>
        <v>#N/A</v>
      </c>
      <c r="BU360" t="e">
        <f t="shared" ca="1" si="18"/>
        <v>#N/A</v>
      </c>
      <c r="BV360" t="e">
        <f t="shared" ca="1" si="18"/>
        <v>#N/A</v>
      </c>
      <c r="BW360" t="e">
        <f t="shared" ca="1" si="18"/>
        <v>#N/A</v>
      </c>
      <c r="BX360" t="e">
        <f t="shared" ca="1" si="18"/>
        <v>#N/A</v>
      </c>
      <c r="BY360">
        <f t="shared" si="19"/>
        <v>0</v>
      </c>
      <c r="BZ360">
        <f t="shared" si="19"/>
        <v>0</v>
      </c>
      <c r="CA360">
        <f t="shared" si="19"/>
        <v>0</v>
      </c>
      <c r="CB360">
        <f t="shared" si="19"/>
        <v>0</v>
      </c>
      <c r="CC360">
        <f t="shared" si="19"/>
        <v>0</v>
      </c>
      <c r="CD360">
        <f t="shared" si="19"/>
        <v>0</v>
      </c>
      <c r="CE360">
        <f t="shared" si="19"/>
        <v>0</v>
      </c>
      <c r="CF360">
        <f t="shared" si="19"/>
        <v>0</v>
      </c>
      <c r="CG360">
        <f t="shared" si="19"/>
        <v>0</v>
      </c>
      <c r="CH360">
        <f t="shared" si="19"/>
        <v>0</v>
      </c>
      <c r="CI360">
        <f t="shared" si="20"/>
        <v>0</v>
      </c>
      <c r="CJ360">
        <f t="shared" si="20"/>
        <v>0</v>
      </c>
      <c r="CK360">
        <f t="shared" si="20"/>
        <v>0</v>
      </c>
      <c r="CL360">
        <f t="shared" si="20"/>
        <v>0</v>
      </c>
      <c r="CM360">
        <f t="shared" si="20"/>
        <v>0</v>
      </c>
      <c r="CN360">
        <f t="shared" si="20"/>
        <v>0</v>
      </c>
      <c r="CO360">
        <f t="shared" si="20"/>
        <v>0</v>
      </c>
      <c r="CP360">
        <f t="shared" si="20"/>
        <v>0</v>
      </c>
      <c r="CQ360">
        <f t="shared" si="20"/>
        <v>0</v>
      </c>
      <c r="CR360">
        <f t="shared" si="20"/>
        <v>0</v>
      </c>
      <c r="CS360">
        <f t="shared" si="21"/>
        <v>0</v>
      </c>
      <c r="CT360">
        <f t="shared" si="21"/>
        <v>0</v>
      </c>
      <c r="CU360">
        <f t="shared" si="21"/>
        <v>0</v>
      </c>
      <c r="CV360">
        <f t="shared" si="21"/>
        <v>0</v>
      </c>
      <c r="CW360">
        <f t="shared" si="21"/>
        <v>0</v>
      </c>
      <c r="CX360">
        <f t="shared" si="21"/>
        <v>0</v>
      </c>
      <c r="CY360">
        <f t="shared" si="21"/>
        <v>0</v>
      </c>
      <c r="CZ360">
        <f t="shared" si="21"/>
        <v>0</v>
      </c>
      <c r="DA360">
        <f t="shared" si="21"/>
        <v>0</v>
      </c>
      <c r="DB360">
        <f t="shared" si="21"/>
        <v>0</v>
      </c>
      <c r="DD360" s="8">
        <f>DD359-1</f>
        <v>20</v>
      </c>
      <c r="DF360" t="e">
        <f ca="1">INDEX(G$358:DB$358,1,51+DD360)</f>
        <v>#N/A</v>
      </c>
      <c r="DG360" t="e">
        <f ca="1">SUM(G360:DB360)</f>
        <v>#N/A</v>
      </c>
      <c r="DH360" t="e">
        <f ca="1">DF360/DG359</f>
        <v>#N/A</v>
      </c>
      <c r="DI360" t="e">
        <f ca="1">IF(DH360&gt;1,1,DH360)</f>
        <v>#N/A</v>
      </c>
      <c r="DK360">
        <v>1</v>
      </c>
      <c r="DP360" s="1"/>
      <c r="DQ360" s="1"/>
      <c r="DR360" s="1"/>
      <c r="DS360" s="1"/>
      <c r="DT360" s="1"/>
      <c r="DU360" s="1"/>
      <c r="DV360" s="1"/>
      <c r="DW360" s="1"/>
      <c r="DX360" s="1"/>
      <c r="DY360" s="1"/>
      <c r="DZ360" s="1"/>
      <c r="EA360" s="1"/>
    </row>
    <row r="361" spans="1:132" x14ac:dyDescent="0.25">
      <c r="G361" t="e">
        <f t="shared" ca="1" si="12"/>
        <v>#N/A</v>
      </c>
      <c r="H361" t="e">
        <f t="shared" ca="1" si="12"/>
        <v>#N/A</v>
      </c>
      <c r="I361" t="e">
        <f t="shared" ca="1" si="12"/>
        <v>#N/A</v>
      </c>
      <c r="J361" t="e">
        <f t="shared" ca="1" si="12"/>
        <v>#N/A</v>
      </c>
      <c r="K361" t="e">
        <f t="shared" ca="1" si="12"/>
        <v>#N/A</v>
      </c>
      <c r="L361" t="e">
        <f t="shared" ca="1" si="12"/>
        <v>#N/A</v>
      </c>
      <c r="M361" t="e">
        <f t="shared" ca="1" si="12"/>
        <v>#N/A</v>
      </c>
      <c r="N361" t="e">
        <f t="shared" ca="1" si="12"/>
        <v>#N/A</v>
      </c>
      <c r="O361" t="e">
        <f t="shared" ca="1" si="12"/>
        <v>#N/A</v>
      </c>
      <c r="P361" t="e">
        <f t="shared" ca="1" si="12"/>
        <v>#N/A</v>
      </c>
      <c r="Q361" t="e">
        <f t="shared" ca="1" si="13"/>
        <v>#N/A</v>
      </c>
      <c r="R361" t="e">
        <f t="shared" ca="1" si="13"/>
        <v>#N/A</v>
      </c>
      <c r="S361" t="e">
        <f t="shared" ca="1" si="13"/>
        <v>#N/A</v>
      </c>
      <c r="T361" t="e">
        <f t="shared" ca="1" si="13"/>
        <v>#N/A</v>
      </c>
      <c r="U361" t="e">
        <f t="shared" ca="1" si="13"/>
        <v>#N/A</v>
      </c>
      <c r="V361" t="e">
        <f t="shared" ca="1" si="13"/>
        <v>#N/A</v>
      </c>
      <c r="W361" t="e">
        <f t="shared" ca="1" si="13"/>
        <v>#N/A</v>
      </c>
      <c r="X361" t="e">
        <f t="shared" ca="1" si="13"/>
        <v>#N/A</v>
      </c>
      <c r="Y361" t="e">
        <f t="shared" ca="1" si="13"/>
        <v>#N/A</v>
      </c>
      <c r="Z361" t="e">
        <f t="shared" ca="1" si="13"/>
        <v>#N/A</v>
      </c>
      <c r="AA361" t="e">
        <f t="shared" ca="1" si="14"/>
        <v>#N/A</v>
      </c>
      <c r="AB361" t="e">
        <f t="shared" ca="1" si="14"/>
        <v>#N/A</v>
      </c>
      <c r="AC361" t="e">
        <f t="shared" ca="1" si="14"/>
        <v>#N/A</v>
      </c>
      <c r="AD361" t="e">
        <f t="shared" ca="1" si="14"/>
        <v>#N/A</v>
      </c>
      <c r="AE361" t="e">
        <f t="shared" ca="1" si="14"/>
        <v>#N/A</v>
      </c>
      <c r="AF361" t="e">
        <f t="shared" ca="1" si="14"/>
        <v>#N/A</v>
      </c>
      <c r="AG361" t="e">
        <f t="shared" ca="1" si="14"/>
        <v>#N/A</v>
      </c>
      <c r="AH361" t="e">
        <f t="shared" ca="1" si="14"/>
        <v>#N/A</v>
      </c>
      <c r="AI361" t="e">
        <f t="shared" ca="1" si="14"/>
        <v>#N/A</v>
      </c>
      <c r="AJ361" t="e">
        <f t="shared" ca="1" si="14"/>
        <v>#N/A</v>
      </c>
      <c r="AK361" t="e">
        <f t="shared" ca="1" si="15"/>
        <v>#N/A</v>
      </c>
      <c r="AL361" t="e">
        <f t="shared" ca="1" si="15"/>
        <v>#N/A</v>
      </c>
      <c r="AM361" t="e">
        <f t="shared" ca="1" si="15"/>
        <v>#N/A</v>
      </c>
      <c r="AN361" t="e">
        <f t="shared" ca="1" si="15"/>
        <v>#N/A</v>
      </c>
      <c r="AO361" t="e">
        <f t="shared" ca="1" si="15"/>
        <v>#N/A</v>
      </c>
      <c r="AP361" t="e">
        <f t="shared" ca="1" si="15"/>
        <v>#N/A</v>
      </c>
      <c r="AQ361" t="e">
        <f t="shared" ca="1" si="15"/>
        <v>#N/A</v>
      </c>
      <c r="AR361" t="e">
        <f t="shared" ca="1" si="15"/>
        <v>#N/A</v>
      </c>
      <c r="AS361" t="e">
        <f t="shared" ca="1" si="15"/>
        <v>#N/A</v>
      </c>
      <c r="AT361" t="e">
        <f t="shared" ca="1" si="15"/>
        <v>#N/A</v>
      </c>
      <c r="AU361" t="e">
        <f t="shared" ca="1" si="16"/>
        <v>#N/A</v>
      </c>
      <c r="AV361" t="e">
        <f t="shared" ca="1" si="16"/>
        <v>#N/A</v>
      </c>
      <c r="AW361" t="e">
        <f t="shared" ca="1" si="16"/>
        <v>#N/A</v>
      </c>
      <c r="AX361" t="e">
        <f t="shared" ca="1" si="16"/>
        <v>#N/A</v>
      </c>
      <c r="AY361" t="e">
        <f t="shared" ca="1" si="16"/>
        <v>#N/A</v>
      </c>
      <c r="AZ361" t="e">
        <f t="shared" ca="1" si="16"/>
        <v>#N/A</v>
      </c>
      <c r="BA361" t="e">
        <f t="shared" ca="1" si="16"/>
        <v>#N/A</v>
      </c>
      <c r="BB361" t="e">
        <f t="shared" ca="1" si="16"/>
        <v>#N/A</v>
      </c>
      <c r="BC361" t="e">
        <f t="shared" ca="1" si="16"/>
        <v>#N/A</v>
      </c>
      <c r="BD361" t="e">
        <f t="shared" ca="1" si="16"/>
        <v>#N/A</v>
      </c>
      <c r="BE361" t="e">
        <f t="shared" ca="1" si="17"/>
        <v>#N/A</v>
      </c>
      <c r="BF361" t="e">
        <f t="shared" ca="1" si="17"/>
        <v>#N/A</v>
      </c>
      <c r="BG361" t="e">
        <f t="shared" ca="1" si="17"/>
        <v>#N/A</v>
      </c>
      <c r="BH361" t="e">
        <f t="shared" ca="1" si="17"/>
        <v>#N/A</v>
      </c>
      <c r="BI361" t="e">
        <f t="shared" ca="1" si="17"/>
        <v>#N/A</v>
      </c>
      <c r="BJ361" t="e">
        <f t="shared" ca="1" si="17"/>
        <v>#N/A</v>
      </c>
      <c r="BK361" t="e">
        <f t="shared" ca="1" si="17"/>
        <v>#N/A</v>
      </c>
      <c r="BL361" t="e">
        <f t="shared" ca="1" si="17"/>
        <v>#N/A</v>
      </c>
      <c r="BM361" t="e">
        <f t="shared" ca="1" si="17"/>
        <v>#N/A</v>
      </c>
      <c r="BN361" t="e">
        <f t="shared" ca="1" si="17"/>
        <v>#N/A</v>
      </c>
      <c r="BO361" t="e">
        <f t="shared" ca="1" si="18"/>
        <v>#N/A</v>
      </c>
      <c r="BP361" t="e">
        <f t="shared" ca="1" si="18"/>
        <v>#N/A</v>
      </c>
      <c r="BQ361" t="e">
        <f t="shared" ca="1" si="18"/>
        <v>#N/A</v>
      </c>
      <c r="BR361" t="e">
        <f t="shared" ca="1" si="18"/>
        <v>#N/A</v>
      </c>
      <c r="BS361" t="e">
        <f t="shared" ca="1" si="18"/>
        <v>#N/A</v>
      </c>
      <c r="BT361" t="e">
        <f t="shared" ca="1" si="18"/>
        <v>#N/A</v>
      </c>
      <c r="BU361" t="e">
        <f t="shared" ca="1" si="18"/>
        <v>#N/A</v>
      </c>
      <c r="BV361" t="e">
        <f t="shared" ca="1" si="18"/>
        <v>#N/A</v>
      </c>
      <c r="BW361" t="e">
        <f t="shared" ca="1" si="18"/>
        <v>#N/A</v>
      </c>
      <c r="BX361">
        <f t="shared" si="18"/>
        <v>0</v>
      </c>
      <c r="BY361">
        <f t="shared" si="19"/>
        <v>0</v>
      </c>
      <c r="BZ361">
        <f t="shared" si="19"/>
        <v>0</v>
      </c>
      <c r="CA361">
        <f t="shared" si="19"/>
        <v>0</v>
      </c>
      <c r="CB361">
        <f t="shared" si="19"/>
        <v>0</v>
      </c>
      <c r="CC361">
        <f t="shared" si="19"/>
        <v>0</v>
      </c>
      <c r="CD361">
        <f t="shared" si="19"/>
        <v>0</v>
      </c>
      <c r="CE361">
        <f t="shared" si="19"/>
        <v>0</v>
      </c>
      <c r="CF361">
        <f t="shared" si="19"/>
        <v>0</v>
      </c>
      <c r="CG361">
        <f t="shared" si="19"/>
        <v>0</v>
      </c>
      <c r="CH361">
        <f t="shared" si="19"/>
        <v>0</v>
      </c>
      <c r="CI361">
        <f t="shared" si="20"/>
        <v>0</v>
      </c>
      <c r="CJ361">
        <f t="shared" si="20"/>
        <v>0</v>
      </c>
      <c r="CK361">
        <f t="shared" si="20"/>
        <v>0</v>
      </c>
      <c r="CL361">
        <f t="shared" si="20"/>
        <v>0</v>
      </c>
      <c r="CM361">
        <f t="shared" si="20"/>
        <v>0</v>
      </c>
      <c r="CN361">
        <f t="shared" si="20"/>
        <v>0</v>
      </c>
      <c r="CO361">
        <f t="shared" si="20"/>
        <v>0</v>
      </c>
      <c r="CP361">
        <f t="shared" si="20"/>
        <v>0</v>
      </c>
      <c r="CQ361">
        <f t="shared" si="20"/>
        <v>0</v>
      </c>
      <c r="CR361">
        <f t="shared" si="20"/>
        <v>0</v>
      </c>
      <c r="CS361">
        <f t="shared" si="21"/>
        <v>0</v>
      </c>
      <c r="CT361">
        <f t="shared" si="21"/>
        <v>0</v>
      </c>
      <c r="CU361">
        <f t="shared" si="21"/>
        <v>0</v>
      </c>
      <c r="CV361">
        <f t="shared" si="21"/>
        <v>0</v>
      </c>
      <c r="CW361">
        <f t="shared" si="21"/>
        <v>0</v>
      </c>
      <c r="CX361">
        <f t="shared" si="21"/>
        <v>0</v>
      </c>
      <c r="CY361">
        <f t="shared" si="21"/>
        <v>0</v>
      </c>
      <c r="CZ361">
        <f t="shared" si="21"/>
        <v>0</v>
      </c>
      <c r="DA361">
        <f t="shared" si="21"/>
        <v>0</v>
      </c>
      <c r="DB361">
        <f t="shared" si="21"/>
        <v>0</v>
      </c>
      <c r="DD361" s="8">
        <f t="shared" ref="DD361:DD398" si="22">DD360-1</f>
        <v>19</v>
      </c>
      <c r="DF361" t="e">
        <f t="shared" ref="DF361:DF398" ca="1" si="23">INDEX(G$358:DB$358,1,51+DD361)</f>
        <v>#N/A</v>
      </c>
      <c r="DG361" t="e">
        <f t="shared" ref="DG361:DG398" ca="1" si="24">SUM(G361:DB361)</f>
        <v>#N/A</v>
      </c>
      <c r="DH361" t="e">
        <f ca="1">SUM($DF$360:DF361)/$DG$359</f>
        <v>#N/A</v>
      </c>
      <c r="DI361" t="e">
        <f t="shared" ref="DI361:DI398" ca="1" si="25">IF(DH361&gt;1,1,DH361)</f>
        <v>#N/A</v>
      </c>
      <c r="DK361">
        <v>2</v>
      </c>
      <c r="DP361" s="1"/>
      <c r="DQ361" s="1"/>
      <c r="DR361" s="1"/>
      <c r="DS361" s="1"/>
      <c r="DT361" s="1"/>
      <c r="DU361" s="1"/>
      <c r="DV361" s="1"/>
      <c r="DW361" s="1"/>
      <c r="DX361" s="1"/>
      <c r="DY361" s="1"/>
      <c r="DZ361" s="1"/>
      <c r="EA361" s="1"/>
    </row>
    <row r="362" spans="1:132" x14ac:dyDescent="0.25">
      <c r="G362" t="e">
        <f t="shared" ca="1" si="12"/>
        <v>#N/A</v>
      </c>
      <c r="H362" t="e">
        <f t="shared" ca="1" si="12"/>
        <v>#N/A</v>
      </c>
      <c r="I362" t="e">
        <f t="shared" ca="1" si="12"/>
        <v>#N/A</v>
      </c>
      <c r="J362" t="e">
        <f t="shared" ca="1" si="12"/>
        <v>#N/A</v>
      </c>
      <c r="K362" t="e">
        <f t="shared" ca="1" si="12"/>
        <v>#N/A</v>
      </c>
      <c r="L362" t="e">
        <f t="shared" ca="1" si="12"/>
        <v>#N/A</v>
      </c>
      <c r="M362" t="e">
        <f t="shared" ca="1" si="12"/>
        <v>#N/A</v>
      </c>
      <c r="N362" t="e">
        <f t="shared" ca="1" si="12"/>
        <v>#N/A</v>
      </c>
      <c r="O362" t="e">
        <f t="shared" ca="1" si="12"/>
        <v>#N/A</v>
      </c>
      <c r="P362" t="e">
        <f t="shared" ca="1" si="12"/>
        <v>#N/A</v>
      </c>
      <c r="Q362" t="e">
        <f t="shared" ca="1" si="13"/>
        <v>#N/A</v>
      </c>
      <c r="R362" t="e">
        <f t="shared" ca="1" si="13"/>
        <v>#N/A</v>
      </c>
      <c r="S362" t="e">
        <f t="shared" ca="1" si="13"/>
        <v>#N/A</v>
      </c>
      <c r="T362" t="e">
        <f t="shared" ca="1" si="13"/>
        <v>#N/A</v>
      </c>
      <c r="U362" t="e">
        <f t="shared" ca="1" si="13"/>
        <v>#N/A</v>
      </c>
      <c r="V362" t="e">
        <f t="shared" ca="1" si="13"/>
        <v>#N/A</v>
      </c>
      <c r="W362" t="e">
        <f t="shared" ca="1" si="13"/>
        <v>#N/A</v>
      </c>
      <c r="X362" t="e">
        <f t="shared" ca="1" si="13"/>
        <v>#N/A</v>
      </c>
      <c r="Y362" t="e">
        <f t="shared" ca="1" si="13"/>
        <v>#N/A</v>
      </c>
      <c r="Z362" t="e">
        <f t="shared" ca="1" si="13"/>
        <v>#N/A</v>
      </c>
      <c r="AA362" t="e">
        <f t="shared" ca="1" si="14"/>
        <v>#N/A</v>
      </c>
      <c r="AB362" t="e">
        <f t="shared" ca="1" si="14"/>
        <v>#N/A</v>
      </c>
      <c r="AC362" t="e">
        <f t="shared" ca="1" si="14"/>
        <v>#N/A</v>
      </c>
      <c r="AD362" t="e">
        <f t="shared" ca="1" si="14"/>
        <v>#N/A</v>
      </c>
      <c r="AE362" t="e">
        <f t="shared" ca="1" si="14"/>
        <v>#N/A</v>
      </c>
      <c r="AF362" t="e">
        <f t="shared" ca="1" si="14"/>
        <v>#N/A</v>
      </c>
      <c r="AG362" t="e">
        <f t="shared" ca="1" si="14"/>
        <v>#N/A</v>
      </c>
      <c r="AH362" t="e">
        <f t="shared" ca="1" si="14"/>
        <v>#N/A</v>
      </c>
      <c r="AI362" t="e">
        <f t="shared" ca="1" si="14"/>
        <v>#N/A</v>
      </c>
      <c r="AJ362" t="e">
        <f t="shared" ca="1" si="14"/>
        <v>#N/A</v>
      </c>
      <c r="AK362" t="e">
        <f t="shared" ca="1" si="15"/>
        <v>#N/A</v>
      </c>
      <c r="AL362" t="e">
        <f t="shared" ca="1" si="15"/>
        <v>#N/A</v>
      </c>
      <c r="AM362" t="e">
        <f t="shared" ca="1" si="15"/>
        <v>#N/A</v>
      </c>
      <c r="AN362" t="e">
        <f t="shared" ca="1" si="15"/>
        <v>#N/A</v>
      </c>
      <c r="AO362" t="e">
        <f t="shared" ca="1" si="15"/>
        <v>#N/A</v>
      </c>
      <c r="AP362" t="e">
        <f t="shared" ca="1" si="15"/>
        <v>#N/A</v>
      </c>
      <c r="AQ362" t="e">
        <f t="shared" ca="1" si="15"/>
        <v>#N/A</v>
      </c>
      <c r="AR362" t="e">
        <f t="shared" ca="1" si="15"/>
        <v>#N/A</v>
      </c>
      <c r="AS362" t="e">
        <f t="shared" ca="1" si="15"/>
        <v>#N/A</v>
      </c>
      <c r="AT362" t="e">
        <f t="shared" ca="1" si="15"/>
        <v>#N/A</v>
      </c>
      <c r="AU362" t="e">
        <f t="shared" ca="1" si="16"/>
        <v>#N/A</v>
      </c>
      <c r="AV362" t="e">
        <f t="shared" ca="1" si="16"/>
        <v>#N/A</v>
      </c>
      <c r="AW362" t="e">
        <f t="shared" ca="1" si="16"/>
        <v>#N/A</v>
      </c>
      <c r="AX362" t="e">
        <f t="shared" ca="1" si="16"/>
        <v>#N/A</v>
      </c>
      <c r="AY362" t="e">
        <f t="shared" ca="1" si="16"/>
        <v>#N/A</v>
      </c>
      <c r="AZ362" t="e">
        <f t="shared" ca="1" si="16"/>
        <v>#N/A</v>
      </c>
      <c r="BA362" t="e">
        <f t="shared" ca="1" si="16"/>
        <v>#N/A</v>
      </c>
      <c r="BB362" t="e">
        <f t="shared" ca="1" si="16"/>
        <v>#N/A</v>
      </c>
      <c r="BC362" t="e">
        <f t="shared" ca="1" si="16"/>
        <v>#N/A</v>
      </c>
      <c r="BD362" t="e">
        <f t="shared" ca="1" si="16"/>
        <v>#N/A</v>
      </c>
      <c r="BE362" t="e">
        <f t="shared" ca="1" si="17"/>
        <v>#N/A</v>
      </c>
      <c r="BF362" t="e">
        <f t="shared" ca="1" si="17"/>
        <v>#N/A</v>
      </c>
      <c r="BG362" t="e">
        <f t="shared" ca="1" si="17"/>
        <v>#N/A</v>
      </c>
      <c r="BH362" t="e">
        <f t="shared" ca="1" si="17"/>
        <v>#N/A</v>
      </c>
      <c r="BI362" t="e">
        <f t="shared" ca="1" si="17"/>
        <v>#N/A</v>
      </c>
      <c r="BJ362" t="e">
        <f t="shared" ca="1" si="17"/>
        <v>#N/A</v>
      </c>
      <c r="BK362" t="e">
        <f t="shared" ca="1" si="17"/>
        <v>#N/A</v>
      </c>
      <c r="BL362" t="e">
        <f t="shared" ca="1" si="17"/>
        <v>#N/A</v>
      </c>
      <c r="BM362" t="e">
        <f t="shared" ca="1" si="17"/>
        <v>#N/A</v>
      </c>
      <c r="BN362" t="e">
        <f t="shared" ca="1" si="17"/>
        <v>#N/A</v>
      </c>
      <c r="BO362" t="e">
        <f t="shared" ca="1" si="18"/>
        <v>#N/A</v>
      </c>
      <c r="BP362" t="e">
        <f t="shared" ca="1" si="18"/>
        <v>#N/A</v>
      </c>
      <c r="BQ362" t="e">
        <f t="shared" ca="1" si="18"/>
        <v>#N/A</v>
      </c>
      <c r="BR362" t="e">
        <f t="shared" ca="1" si="18"/>
        <v>#N/A</v>
      </c>
      <c r="BS362" t="e">
        <f t="shared" ca="1" si="18"/>
        <v>#N/A</v>
      </c>
      <c r="BT362" t="e">
        <f t="shared" ca="1" si="18"/>
        <v>#N/A</v>
      </c>
      <c r="BU362" t="e">
        <f t="shared" ca="1" si="18"/>
        <v>#N/A</v>
      </c>
      <c r="BV362" t="e">
        <f t="shared" ca="1" si="18"/>
        <v>#N/A</v>
      </c>
      <c r="BW362">
        <f t="shared" si="18"/>
        <v>0</v>
      </c>
      <c r="BX362">
        <f t="shared" si="18"/>
        <v>0</v>
      </c>
      <c r="BY362">
        <f t="shared" si="19"/>
        <v>0</v>
      </c>
      <c r="BZ362">
        <f t="shared" si="19"/>
        <v>0</v>
      </c>
      <c r="CA362">
        <f t="shared" si="19"/>
        <v>0</v>
      </c>
      <c r="CB362">
        <f t="shared" si="19"/>
        <v>0</v>
      </c>
      <c r="CC362">
        <f t="shared" si="19"/>
        <v>0</v>
      </c>
      <c r="CD362">
        <f t="shared" si="19"/>
        <v>0</v>
      </c>
      <c r="CE362">
        <f t="shared" si="19"/>
        <v>0</v>
      </c>
      <c r="CF362">
        <f t="shared" si="19"/>
        <v>0</v>
      </c>
      <c r="CG362">
        <f t="shared" si="19"/>
        <v>0</v>
      </c>
      <c r="CH362">
        <f t="shared" si="19"/>
        <v>0</v>
      </c>
      <c r="CI362">
        <f t="shared" si="20"/>
        <v>0</v>
      </c>
      <c r="CJ362">
        <f t="shared" si="20"/>
        <v>0</v>
      </c>
      <c r="CK362">
        <f t="shared" si="20"/>
        <v>0</v>
      </c>
      <c r="CL362">
        <f t="shared" si="20"/>
        <v>0</v>
      </c>
      <c r="CM362">
        <f t="shared" si="20"/>
        <v>0</v>
      </c>
      <c r="CN362">
        <f t="shared" si="20"/>
        <v>0</v>
      </c>
      <c r="CO362">
        <f t="shared" si="20"/>
        <v>0</v>
      </c>
      <c r="CP362">
        <f t="shared" si="20"/>
        <v>0</v>
      </c>
      <c r="CQ362">
        <f t="shared" si="20"/>
        <v>0</v>
      </c>
      <c r="CR362">
        <f t="shared" si="20"/>
        <v>0</v>
      </c>
      <c r="CS362">
        <f t="shared" si="21"/>
        <v>0</v>
      </c>
      <c r="CT362">
        <f t="shared" si="21"/>
        <v>0</v>
      </c>
      <c r="CU362">
        <f t="shared" si="21"/>
        <v>0</v>
      </c>
      <c r="CV362">
        <f t="shared" si="21"/>
        <v>0</v>
      </c>
      <c r="CW362">
        <f t="shared" si="21"/>
        <v>0</v>
      </c>
      <c r="CX362">
        <f t="shared" si="21"/>
        <v>0</v>
      </c>
      <c r="CY362">
        <f t="shared" si="21"/>
        <v>0</v>
      </c>
      <c r="CZ362">
        <f t="shared" si="21"/>
        <v>0</v>
      </c>
      <c r="DA362">
        <f t="shared" si="21"/>
        <v>0</v>
      </c>
      <c r="DB362">
        <f t="shared" si="21"/>
        <v>0</v>
      </c>
      <c r="DD362" s="8">
        <f t="shared" si="22"/>
        <v>18</v>
      </c>
      <c r="DF362" t="e">
        <f ca="1">INDEX(G$358:DB$358,1,51+DD362)</f>
        <v>#N/A</v>
      </c>
      <c r="DG362" t="e">
        <f t="shared" ca="1" si="24"/>
        <v>#N/A</v>
      </c>
      <c r="DH362" t="e">
        <f ca="1">SUM($DF$360:DF362)/$DG$359</f>
        <v>#N/A</v>
      </c>
      <c r="DI362" t="e">
        <f t="shared" ca="1" si="25"/>
        <v>#N/A</v>
      </c>
      <c r="DK362">
        <v>3</v>
      </c>
      <c r="DP362" s="1"/>
      <c r="DQ362" s="1"/>
      <c r="DR362" s="1"/>
      <c r="DS362" s="1"/>
      <c r="DT362" s="1"/>
      <c r="DU362" s="1"/>
      <c r="DV362" s="1"/>
      <c r="DW362" s="1"/>
      <c r="DX362" s="1"/>
      <c r="DY362" s="1"/>
      <c r="DZ362" s="1"/>
      <c r="EA362" s="1"/>
    </row>
    <row r="363" spans="1:132" x14ac:dyDescent="0.25">
      <c r="G363" t="e">
        <f t="shared" ca="1" si="12"/>
        <v>#N/A</v>
      </c>
      <c r="H363" t="e">
        <f t="shared" ca="1" si="12"/>
        <v>#N/A</v>
      </c>
      <c r="I363" t="e">
        <f t="shared" ca="1" si="12"/>
        <v>#N/A</v>
      </c>
      <c r="J363" t="e">
        <f t="shared" ca="1" si="12"/>
        <v>#N/A</v>
      </c>
      <c r="K363" t="e">
        <f t="shared" ca="1" si="12"/>
        <v>#N/A</v>
      </c>
      <c r="L363" t="e">
        <f t="shared" ca="1" si="12"/>
        <v>#N/A</v>
      </c>
      <c r="M363" t="e">
        <f t="shared" ca="1" si="12"/>
        <v>#N/A</v>
      </c>
      <c r="N363" t="e">
        <f t="shared" ca="1" si="12"/>
        <v>#N/A</v>
      </c>
      <c r="O363" t="e">
        <f t="shared" ca="1" si="12"/>
        <v>#N/A</v>
      </c>
      <c r="P363" t="e">
        <f t="shared" ca="1" si="12"/>
        <v>#N/A</v>
      </c>
      <c r="Q363" t="e">
        <f t="shared" ca="1" si="13"/>
        <v>#N/A</v>
      </c>
      <c r="R363" t="e">
        <f t="shared" ca="1" si="13"/>
        <v>#N/A</v>
      </c>
      <c r="S363" t="e">
        <f t="shared" ca="1" si="13"/>
        <v>#N/A</v>
      </c>
      <c r="T363" t="e">
        <f t="shared" ca="1" si="13"/>
        <v>#N/A</v>
      </c>
      <c r="U363" t="e">
        <f t="shared" ca="1" si="13"/>
        <v>#N/A</v>
      </c>
      <c r="V363" t="e">
        <f t="shared" ca="1" si="13"/>
        <v>#N/A</v>
      </c>
      <c r="W363" t="e">
        <f t="shared" ca="1" si="13"/>
        <v>#N/A</v>
      </c>
      <c r="X363" t="e">
        <f t="shared" ca="1" si="13"/>
        <v>#N/A</v>
      </c>
      <c r="Y363" t="e">
        <f t="shared" ca="1" si="13"/>
        <v>#N/A</v>
      </c>
      <c r="Z363" t="e">
        <f t="shared" ca="1" si="13"/>
        <v>#N/A</v>
      </c>
      <c r="AA363" t="e">
        <f t="shared" ca="1" si="14"/>
        <v>#N/A</v>
      </c>
      <c r="AB363" t="e">
        <f t="shared" ca="1" si="14"/>
        <v>#N/A</v>
      </c>
      <c r="AC363" t="e">
        <f t="shared" ca="1" si="14"/>
        <v>#N/A</v>
      </c>
      <c r="AD363" t="e">
        <f t="shared" ca="1" si="14"/>
        <v>#N/A</v>
      </c>
      <c r="AE363" t="e">
        <f t="shared" ca="1" si="14"/>
        <v>#N/A</v>
      </c>
      <c r="AF363" t="e">
        <f t="shared" ca="1" si="14"/>
        <v>#N/A</v>
      </c>
      <c r="AG363" t="e">
        <f t="shared" ca="1" si="14"/>
        <v>#N/A</v>
      </c>
      <c r="AH363" t="e">
        <f t="shared" ca="1" si="14"/>
        <v>#N/A</v>
      </c>
      <c r="AI363" t="e">
        <f t="shared" ca="1" si="14"/>
        <v>#N/A</v>
      </c>
      <c r="AJ363" t="e">
        <f t="shared" ca="1" si="14"/>
        <v>#N/A</v>
      </c>
      <c r="AK363" t="e">
        <f t="shared" ca="1" si="15"/>
        <v>#N/A</v>
      </c>
      <c r="AL363" t="e">
        <f t="shared" ca="1" si="15"/>
        <v>#N/A</v>
      </c>
      <c r="AM363" t="e">
        <f t="shared" ca="1" si="15"/>
        <v>#N/A</v>
      </c>
      <c r="AN363" t="e">
        <f t="shared" ca="1" si="15"/>
        <v>#N/A</v>
      </c>
      <c r="AO363" t="e">
        <f t="shared" ca="1" si="15"/>
        <v>#N/A</v>
      </c>
      <c r="AP363" t="e">
        <f t="shared" ca="1" si="15"/>
        <v>#N/A</v>
      </c>
      <c r="AQ363" t="e">
        <f t="shared" ca="1" si="15"/>
        <v>#N/A</v>
      </c>
      <c r="AR363" t="e">
        <f t="shared" ca="1" si="15"/>
        <v>#N/A</v>
      </c>
      <c r="AS363" t="e">
        <f t="shared" ca="1" si="15"/>
        <v>#N/A</v>
      </c>
      <c r="AT363" t="e">
        <f t="shared" ca="1" si="15"/>
        <v>#N/A</v>
      </c>
      <c r="AU363" t="e">
        <f t="shared" ca="1" si="16"/>
        <v>#N/A</v>
      </c>
      <c r="AV363" t="e">
        <f t="shared" ca="1" si="16"/>
        <v>#N/A</v>
      </c>
      <c r="AW363" t="e">
        <f t="shared" ca="1" si="16"/>
        <v>#N/A</v>
      </c>
      <c r="AX363" t="e">
        <f t="shared" ca="1" si="16"/>
        <v>#N/A</v>
      </c>
      <c r="AY363" t="e">
        <f t="shared" ca="1" si="16"/>
        <v>#N/A</v>
      </c>
      <c r="AZ363" t="e">
        <f t="shared" ca="1" si="16"/>
        <v>#N/A</v>
      </c>
      <c r="BA363" t="e">
        <f t="shared" ca="1" si="16"/>
        <v>#N/A</v>
      </c>
      <c r="BB363" t="e">
        <f t="shared" ca="1" si="16"/>
        <v>#N/A</v>
      </c>
      <c r="BC363" t="e">
        <f t="shared" ca="1" si="16"/>
        <v>#N/A</v>
      </c>
      <c r="BD363" t="e">
        <f t="shared" ca="1" si="16"/>
        <v>#N/A</v>
      </c>
      <c r="BE363" t="e">
        <f t="shared" ca="1" si="17"/>
        <v>#N/A</v>
      </c>
      <c r="BF363" t="e">
        <f t="shared" ca="1" si="17"/>
        <v>#N/A</v>
      </c>
      <c r="BG363" t="e">
        <f t="shared" ca="1" si="17"/>
        <v>#N/A</v>
      </c>
      <c r="BH363" t="e">
        <f t="shared" ca="1" si="17"/>
        <v>#N/A</v>
      </c>
      <c r="BI363" t="e">
        <f t="shared" ca="1" si="17"/>
        <v>#N/A</v>
      </c>
      <c r="BJ363" t="e">
        <f t="shared" ca="1" si="17"/>
        <v>#N/A</v>
      </c>
      <c r="BK363" t="e">
        <f t="shared" ca="1" si="17"/>
        <v>#N/A</v>
      </c>
      <c r="BL363" t="e">
        <f t="shared" ca="1" si="17"/>
        <v>#N/A</v>
      </c>
      <c r="BM363" t="e">
        <f t="shared" ca="1" si="17"/>
        <v>#N/A</v>
      </c>
      <c r="BN363" t="e">
        <f t="shared" ca="1" si="17"/>
        <v>#N/A</v>
      </c>
      <c r="BO363" t="e">
        <f t="shared" ca="1" si="18"/>
        <v>#N/A</v>
      </c>
      <c r="BP363" t="e">
        <f t="shared" ca="1" si="18"/>
        <v>#N/A</v>
      </c>
      <c r="BQ363" t="e">
        <f t="shared" ca="1" si="18"/>
        <v>#N/A</v>
      </c>
      <c r="BR363" t="e">
        <f t="shared" ca="1" si="18"/>
        <v>#N/A</v>
      </c>
      <c r="BS363" t="e">
        <f t="shared" ca="1" si="18"/>
        <v>#N/A</v>
      </c>
      <c r="BT363" t="e">
        <f t="shared" ca="1" si="18"/>
        <v>#N/A</v>
      </c>
      <c r="BU363" t="e">
        <f t="shared" ca="1" si="18"/>
        <v>#N/A</v>
      </c>
      <c r="BV363">
        <f t="shared" si="18"/>
        <v>0</v>
      </c>
      <c r="BW363">
        <f t="shared" si="18"/>
        <v>0</v>
      </c>
      <c r="BX363">
        <f t="shared" si="18"/>
        <v>0</v>
      </c>
      <c r="BY363">
        <f t="shared" si="19"/>
        <v>0</v>
      </c>
      <c r="BZ363">
        <f t="shared" si="19"/>
        <v>0</v>
      </c>
      <c r="CA363">
        <f t="shared" si="19"/>
        <v>0</v>
      </c>
      <c r="CB363">
        <f t="shared" si="19"/>
        <v>0</v>
      </c>
      <c r="CC363">
        <f t="shared" si="19"/>
        <v>0</v>
      </c>
      <c r="CD363">
        <f t="shared" si="19"/>
        <v>0</v>
      </c>
      <c r="CE363">
        <f t="shared" si="19"/>
        <v>0</v>
      </c>
      <c r="CF363">
        <f t="shared" si="19"/>
        <v>0</v>
      </c>
      <c r="CG363">
        <f t="shared" si="19"/>
        <v>0</v>
      </c>
      <c r="CH363">
        <f t="shared" si="19"/>
        <v>0</v>
      </c>
      <c r="CI363">
        <f t="shared" si="20"/>
        <v>0</v>
      </c>
      <c r="CJ363">
        <f t="shared" si="20"/>
        <v>0</v>
      </c>
      <c r="CK363">
        <f t="shared" si="20"/>
        <v>0</v>
      </c>
      <c r="CL363">
        <f t="shared" si="20"/>
        <v>0</v>
      </c>
      <c r="CM363">
        <f t="shared" si="20"/>
        <v>0</v>
      </c>
      <c r="CN363">
        <f t="shared" si="20"/>
        <v>0</v>
      </c>
      <c r="CO363">
        <f t="shared" si="20"/>
        <v>0</v>
      </c>
      <c r="CP363">
        <f t="shared" si="20"/>
        <v>0</v>
      </c>
      <c r="CQ363">
        <f t="shared" si="20"/>
        <v>0</v>
      </c>
      <c r="CR363">
        <f t="shared" si="20"/>
        <v>0</v>
      </c>
      <c r="CS363">
        <f t="shared" si="21"/>
        <v>0</v>
      </c>
      <c r="CT363">
        <f t="shared" si="21"/>
        <v>0</v>
      </c>
      <c r="CU363">
        <f t="shared" si="21"/>
        <v>0</v>
      </c>
      <c r="CV363">
        <f t="shared" si="21"/>
        <v>0</v>
      </c>
      <c r="CW363">
        <f t="shared" si="21"/>
        <v>0</v>
      </c>
      <c r="CX363">
        <f t="shared" si="21"/>
        <v>0</v>
      </c>
      <c r="CY363">
        <f t="shared" si="21"/>
        <v>0</v>
      </c>
      <c r="CZ363">
        <f t="shared" si="21"/>
        <v>0</v>
      </c>
      <c r="DA363">
        <f t="shared" si="21"/>
        <v>0</v>
      </c>
      <c r="DB363">
        <f t="shared" si="21"/>
        <v>0</v>
      </c>
      <c r="DD363" s="8">
        <f t="shared" si="22"/>
        <v>17</v>
      </c>
      <c r="DF363" t="e">
        <f t="shared" ca="1" si="23"/>
        <v>#N/A</v>
      </c>
      <c r="DG363" t="e">
        <f t="shared" ca="1" si="24"/>
        <v>#N/A</v>
      </c>
      <c r="DH363" t="e">
        <f ca="1">SUM($DF$360:DF363)/$DG$359</f>
        <v>#N/A</v>
      </c>
      <c r="DI363" t="e">
        <f t="shared" ca="1" si="25"/>
        <v>#N/A</v>
      </c>
      <c r="DK363">
        <v>4</v>
      </c>
      <c r="DP363" s="1"/>
      <c r="DQ363" s="1"/>
      <c r="DR363" s="1"/>
      <c r="DS363" s="1"/>
      <c r="DT363" s="1"/>
      <c r="DU363" s="1"/>
      <c r="DV363" s="1"/>
      <c r="DW363" s="1"/>
      <c r="DX363" s="1"/>
      <c r="DY363" s="1"/>
      <c r="DZ363" s="1"/>
      <c r="EA363" s="1"/>
    </row>
    <row r="364" spans="1:132" x14ac:dyDescent="0.25">
      <c r="G364" t="e">
        <f t="shared" ca="1" si="12"/>
        <v>#N/A</v>
      </c>
      <c r="H364" t="e">
        <f t="shared" ca="1" si="12"/>
        <v>#N/A</v>
      </c>
      <c r="I364" t="e">
        <f t="shared" ca="1" si="12"/>
        <v>#N/A</v>
      </c>
      <c r="J364" t="e">
        <f t="shared" ca="1" si="12"/>
        <v>#N/A</v>
      </c>
      <c r="K364" t="e">
        <f t="shared" ca="1" si="12"/>
        <v>#N/A</v>
      </c>
      <c r="L364" t="e">
        <f t="shared" ca="1" si="12"/>
        <v>#N/A</v>
      </c>
      <c r="M364" t="e">
        <f t="shared" ca="1" si="12"/>
        <v>#N/A</v>
      </c>
      <c r="N364" t="e">
        <f t="shared" ca="1" si="12"/>
        <v>#N/A</v>
      </c>
      <c r="O364" t="e">
        <f t="shared" ca="1" si="12"/>
        <v>#N/A</v>
      </c>
      <c r="P364" t="e">
        <f t="shared" ca="1" si="12"/>
        <v>#N/A</v>
      </c>
      <c r="Q364" t="e">
        <f t="shared" ca="1" si="13"/>
        <v>#N/A</v>
      </c>
      <c r="R364" t="e">
        <f t="shared" ca="1" si="13"/>
        <v>#N/A</v>
      </c>
      <c r="S364" t="e">
        <f t="shared" ca="1" si="13"/>
        <v>#N/A</v>
      </c>
      <c r="T364" t="e">
        <f t="shared" ca="1" si="13"/>
        <v>#N/A</v>
      </c>
      <c r="U364" t="e">
        <f t="shared" ca="1" si="13"/>
        <v>#N/A</v>
      </c>
      <c r="V364" t="e">
        <f t="shared" ca="1" si="13"/>
        <v>#N/A</v>
      </c>
      <c r="W364" t="e">
        <f t="shared" ca="1" si="13"/>
        <v>#N/A</v>
      </c>
      <c r="X364" t="e">
        <f t="shared" ca="1" si="13"/>
        <v>#N/A</v>
      </c>
      <c r="Y364" t="e">
        <f t="shared" ca="1" si="13"/>
        <v>#N/A</v>
      </c>
      <c r="Z364" t="e">
        <f t="shared" ca="1" si="13"/>
        <v>#N/A</v>
      </c>
      <c r="AA364" t="e">
        <f t="shared" ca="1" si="14"/>
        <v>#N/A</v>
      </c>
      <c r="AB364" t="e">
        <f t="shared" ca="1" si="14"/>
        <v>#N/A</v>
      </c>
      <c r="AC364" t="e">
        <f t="shared" ca="1" si="14"/>
        <v>#N/A</v>
      </c>
      <c r="AD364" t="e">
        <f t="shared" ca="1" si="14"/>
        <v>#N/A</v>
      </c>
      <c r="AE364" t="e">
        <f t="shared" ca="1" si="14"/>
        <v>#N/A</v>
      </c>
      <c r="AF364" t="e">
        <f t="shared" ca="1" si="14"/>
        <v>#N/A</v>
      </c>
      <c r="AG364" t="e">
        <f t="shared" ca="1" si="14"/>
        <v>#N/A</v>
      </c>
      <c r="AH364" t="e">
        <f t="shared" ca="1" si="14"/>
        <v>#N/A</v>
      </c>
      <c r="AI364" t="e">
        <f t="shared" ca="1" si="14"/>
        <v>#N/A</v>
      </c>
      <c r="AJ364" t="e">
        <f t="shared" ca="1" si="14"/>
        <v>#N/A</v>
      </c>
      <c r="AK364" t="e">
        <f t="shared" ca="1" si="15"/>
        <v>#N/A</v>
      </c>
      <c r="AL364" t="e">
        <f t="shared" ca="1" si="15"/>
        <v>#N/A</v>
      </c>
      <c r="AM364" t="e">
        <f t="shared" ca="1" si="15"/>
        <v>#N/A</v>
      </c>
      <c r="AN364" t="e">
        <f t="shared" ca="1" si="15"/>
        <v>#N/A</v>
      </c>
      <c r="AO364" t="e">
        <f t="shared" ca="1" si="15"/>
        <v>#N/A</v>
      </c>
      <c r="AP364" t="e">
        <f t="shared" ca="1" si="15"/>
        <v>#N/A</v>
      </c>
      <c r="AQ364" t="e">
        <f t="shared" ca="1" si="15"/>
        <v>#N/A</v>
      </c>
      <c r="AR364" t="e">
        <f t="shared" ca="1" si="15"/>
        <v>#N/A</v>
      </c>
      <c r="AS364" t="e">
        <f t="shared" ca="1" si="15"/>
        <v>#N/A</v>
      </c>
      <c r="AT364" t="e">
        <f t="shared" ca="1" si="15"/>
        <v>#N/A</v>
      </c>
      <c r="AU364" t="e">
        <f t="shared" ca="1" si="16"/>
        <v>#N/A</v>
      </c>
      <c r="AV364" t="e">
        <f t="shared" ca="1" si="16"/>
        <v>#N/A</v>
      </c>
      <c r="AW364" t="e">
        <f t="shared" ca="1" si="16"/>
        <v>#N/A</v>
      </c>
      <c r="AX364" t="e">
        <f t="shared" ca="1" si="16"/>
        <v>#N/A</v>
      </c>
      <c r="AY364" t="e">
        <f t="shared" ca="1" si="16"/>
        <v>#N/A</v>
      </c>
      <c r="AZ364" t="e">
        <f t="shared" ca="1" si="16"/>
        <v>#N/A</v>
      </c>
      <c r="BA364" t="e">
        <f t="shared" ca="1" si="16"/>
        <v>#N/A</v>
      </c>
      <c r="BB364" t="e">
        <f t="shared" ca="1" si="16"/>
        <v>#N/A</v>
      </c>
      <c r="BC364" t="e">
        <f t="shared" ca="1" si="16"/>
        <v>#N/A</v>
      </c>
      <c r="BD364" t="e">
        <f t="shared" ca="1" si="16"/>
        <v>#N/A</v>
      </c>
      <c r="BE364" t="e">
        <f t="shared" ca="1" si="17"/>
        <v>#N/A</v>
      </c>
      <c r="BF364" t="e">
        <f t="shared" ca="1" si="17"/>
        <v>#N/A</v>
      </c>
      <c r="BG364" t="e">
        <f t="shared" ca="1" si="17"/>
        <v>#N/A</v>
      </c>
      <c r="BH364" t="e">
        <f t="shared" ca="1" si="17"/>
        <v>#N/A</v>
      </c>
      <c r="BI364" t="e">
        <f t="shared" ca="1" si="17"/>
        <v>#N/A</v>
      </c>
      <c r="BJ364" t="e">
        <f t="shared" ca="1" si="17"/>
        <v>#N/A</v>
      </c>
      <c r="BK364" t="e">
        <f t="shared" ca="1" si="17"/>
        <v>#N/A</v>
      </c>
      <c r="BL364" t="e">
        <f t="shared" ca="1" si="17"/>
        <v>#N/A</v>
      </c>
      <c r="BM364" t="e">
        <f t="shared" ca="1" si="17"/>
        <v>#N/A</v>
      </c>
      <c r="BN364" t="e">
        <f t="shared" ca="1" si="17"/>
        <v>#N/A</v>
      </c>
      <c r="BO364" t="e">
        <f t="shared" ca="1" si="18"/>
        <v>#N/A</v>
      </c>
      <c r="BP364" t="e">
        <f t="shared" ca="1" si="18"/>
        <v>#N/A</v>
      </c>
      <c r="BQ364" t="e">
        <f t="shared" ca="1" si="18"/>
        <v>#N/A</v>
      </c>
      <c r="BR364" t="e">
        <f t="shared" ca="1" si="18"/>
        <v>#N/A</v>
      </c>
      <c r="BS364" t="e">
        <f t="shared" ca="1" si="18"/>
        <v>#N/A</v>
      </c>
      <c r="BT364" t="e">
        <f t="shared" ca="1" si="18"/>
        <v>#N/A</v>
      </c>
      <c r="BU364">
        <f t="shared" si="18"/>
        <v>0</v>
      </c>
      <c r="BV364">
        <f t="shared" si="18"/>
        <v>0</v>
      </c>
      <c r="BW364">
        <f t="shared" si="18"/>
        <v>0</v>
      </c>
      <c r="BX364">
        <f t="shared" si="18"/>
        <v>0</v>
      </c>
      <c r="BY364">
        <f t="shared" si="19"/>
        <v>0</v>
      </c>
      <c r="BZ364">
        <f t="shared" si="19"/>
        <v>0</v>
      </c>
      <c r="CA364">
        <f t="shared" si="19"/>
        <v>0</v>
      </c>
      <c r="CB364">
        <f t="shared" si="19"/>
        <v>0</v>
      </c>
      <c r="CC364">
        <f t="shared" si="19"/>
        <v>0</v>
      </c>
      <c r="CD364">
        <f t="shared" si="19"/>
        <v>0</v>
      </c>
      <c r="CE364">
        <f t="shared" si="19"/>
        <v>0</v>
      </c>
      <c r="CF364">
        <f t="shared" si="19"/>
        <v>0</v>
      </c>
      <c r="CG364">
        <f t="shared" si="19"/>
        <v>0</v>
      </c>
      <c r="CH364">
        <f t="shared" si="19"/>
        <v>0</v>
      </c>
      <c r="CI364">
        <f t="shared" si="20"/>
        <v>0</v>
      </c>
      <c r="CJ364">
        <f t="shared" si="20"/>
        <v>0</v>
      </c>
      <c r="CK364">
        <f t="shared" si="20"/>
        <v>0</v>
      </c>
      <c r="CL364">
        <f t="shared" si="20"/>
        <v>0</v>
      </c>
      <c r="CM364">
        <f t="shared" si="20"/>
        <v>0</v>
      </c>
      <c r="CN364">
        <f t="shared" si="20"/>
        <v>0</v>
      </c>
      <c r="CO364">
        <f t="shared" si="20"/>
        <v>0</v>
      </c>
      <c r="CP364">
        <f t="shared" si="20"/>
        <v>0</v>
      </c>
      <c r="CQ364">
        <f t="shared" si="20"/>
        <v>0</v>
      </c>
      <c r="CR364">
        <f t="shared" si="20"/>
        <v>0</v>
      </c>
      <c r="CS364">
        <f t="shared" si="21"/>
        <v>0</v>
      </c>
      <c r="CT364">
        <f t="shared" si="21"/>
        <v>0</v>
      </c>
      <c r="CU364">
        <f t="shared" si="21"/>
        <v>0</v>
      </c>
      <c r="CV364">
        <f t="shared" si="21"/>
        <v>0</v>
      </c>
      <c r="CW364">
        <f t="shared" si="21"/>
        <v>0</v>
      </c>
      <c r="CX364">
        <f t="shared" si="21"/>
        <v>0</v>
      </c>
      <c r="CY364">
        <f t="shared" si="21"/>
        <v>0</v>
      </c>
      <c r="CZ364">
        <f t="shared" si="21"/>
        <v>0</v>
      </c>
      <c r="DA364">
        <f t="shared" si="21"/>
        <v>0</v>
      </c>
      <c r="DB364">
        <f t="shared" si="21"/>
        <v>0</v>
      </c>
      <c r="DD364" s="8">
        <f t="shared" si="22"/>
        <v>16</v>
      </c>
      <c r="DF364" t="e">
        <f t="shared" ca="1" si="23"/>
        <v>#N/A</v>
      </c>
      <c r="DG364" t="e">
        <f t="shared" ca="1" si="24"/>
        <v>#N/A</v>
      </c>
      <c r="DH364" t="e">
        <f ca="1">SUM($DF$360:DF364)/$DG$359</f>
        <v>#N/A</v>
      </c>
      <c r="DI364" t="e">
        <f t="shared" ca="1" si="25"/>
        <v>#N/A</v>
      </c>
      <c r="DK364">
        <v>5</v>
      </c>
      <c r="DP364" s="1"/>
      <c r="DQ364" s="1"/>
      <c r="DR364" s="1"/>
      <c r="DS364" s="1"/>
      <c r="DT364" s="1"/>
      <c r="DU364" s="1"/>
      <c r="DV364" s="1"/>
      <c r="DW364" s="1"/>
      <c r="DX364" s="1"/>
      <c r="DY364" s="1"/>
      <c r="DZ364" s="1"/>
      <c r="EA364" s="1"/>
    </row>
    <row r="365" spans="1:132" x14ac:dyDescent="0.25">
      <c r="G365" t="e">
        <f t="shared" ca="1" si="12"/>
        <v>#N/A</v>
      </c>
      <c r="H365" t="e">
        <f t="shared" ca="1" si="12"/>
        <v>#N/A</v>
      </c>
      <c r="I365" t="e">
        <f t="shared" ca="1" si="12"/>
        <v>#N/A</v>
      </c>
      <c r="J365" t="e">
        <f t="shared" ca="1" si="12"/>
        <v>#N/A</v>
      </c>
      <c r="K365" t="e">
        <f t="shared" ca="1" si="12"/>
        <v>#N/A</v>
      </c>
      <c r="L365" t="e">
        <f t="shared" ca="1" si="12"/>
        <v>#N/A</v>
      </c>
      <c r="M365" t="e">
        <f t="shared" ca="1" si="12"/>
        <v>#N/A</v>
      </c>
      <c r="N365" t="e">
        <f t="shared" ca="1" si="12"/>
        <v>#N/A</v>
      </c>
      <c r="O365" t="e">
        <f t="shared" ca="1" si="12"/>
        <v>#N/A</v>
      </c>
      <c r="P365" t="e">
        <f t="shared" ca="1" si="12"/>
        <v>#N/A</v>
      </c>
      <c r="Q365" t="e">
        <f t="shared" ca="1" si="13"/>
        <v>#N/A</v>
      </c>
      <c r="R365" t="e">
        <f t="shared" ca="1" si="13"/>
        <v>#N/A</v>
      </c>
      <c r="S365" t="e">
        <f t="shared" ca="1" si="13"/>
        <v>#N/A</v>
      </c>
      <c r="T365" t="e">
        <f t="shared" ca="1" si="13"/>
        <v>#N/A</v>
      </c>
      <c r="U365" t="e">
        <f t="shared" ca="1" si="13"/>
        <v>#N/A</v>
      </c>
      <c r="V365" t="e">
        <f t="shared" ca="1" si="13"/>
        <v>#N/A</v>
      </c>
      <c r="W365" t="e">
        <f t="shared" ca="1" si="13"/>
        <v>#N/A</v>
      </c>
      <c r="X365" t="e">
        <f t="shared" ca="1" si="13"/>
        <v>#N/A</v>
      </c>
      <c r="Y365" t="e">
        <f t="shared" ca="1" si="13"/>
        <v>#N/A</v>
      </c>
      <c r="Z365" t="e">
        <f t="shared" ca="1" si="13"/>
        <v>#N/A</v>
      </c>
      <c r="AA365" t="e">
        <f t="shared" ca="1" si="14"/>
        <v>#N/A</v>
      </c>
      <c r="AB365" t="e">
        <f t="shared" ca="1" si="14"/>
        <v>#N/A</v>
      </c>
      <c r="AC365" t="e">
        <f t="shared" ca="1" si="14"/>
        <v>#N/A</v>
      </c>
      <c r="AD365" t="e">
        <f t="shared" ca="1" si="14"/>
        <v>#N/A</v>
      </c>
      <c r="AE365" t="e">
        <f t="shared" ca="1" si="14"/>
        <v>#N/A</v>
      </c>
      <c r="AF365" t="e">
        <f t="shared" ca="1" si="14"/>
        <v>#N/A</v>
      </c>
      <c r="AG365" t="e">
        <f t="shared" ca="1" si="14"/>
        <v>#N/A</v>
      </c>
      <c r="AH365" t="e">
        <f t="shared" ca="1" si="14"/>
        <v>#N/A</v>
      </c>
      <c r="AI365" t="e">
        <f t="shared" ca="1" si="14"/>
        <v>#N/A</v>
      </c>
      <c r="AJ365" t="e">
        <f t="shared" ca="1" si="14"/>
        <v>#N/A</v>
      </c>
      <c r="AK365" t="e">
        <f t="shared" ca="1" si="15"/>
        <v>#N/A</v>
      </c>
      <c r="AL365" t="e">
        <f t="shared" ca="1" si="15"/>
        <v>#N/A</v>
      </c>
      <c r="AM365" t="e">
        <f t="shared" ca="1" si="15"/>
        <v>#N/A</v>
      </c>
      <c r="AN365" t="e">
        <f t="shared" ca="1" si="15"/>
        <v>#N/A</v>
      </c>
      <c r="AO365" t="e">
        <f t="shared" ca="1" si="15"/>
        <v>#N/A</v>
      </c>
      <c r="AP365" t="e">
        <f t="shared" ca="1" si="15"/>
        <v>#N/A</v>
      </c>
      <c r="AQ365" t="e">
        <f t="shared" ca="1" si="15"/>
        <v>#N/A</v>
      </c>
      <c r="AR365" t="e">
        <f t="shared" ca="1" si="15"/>
        <v>#N/A</v>
      </c>
      <c r="AS365" t="e">
        <f t="shared" ca="1" si="15"/>
        <v>#N/A</v>
      </c>
      <c r="AT365" t="e">
        <f t="shared" ca="1" si="15"/>
        <v>#N/A</v>
      </c>
      <c r="AU365" t="e">
        <f t="shared" ca="1" si="16"/>
        <v>#N/A</v>
      </c>
      <c r="AV365" t="e">
        <f t="shared" ca="1" si="16"/>
        <v>#N/A</v>
      </c>
      <c r="AW365" t="e">
        <f t="shared" ca="1" si="16"/>
        <v>#N/A</v>
      </c>
      <c r="AX365" t="e">
        <f t="shared" ca="1" si="16"/>
        <v>#N/A</v>
      </c>
      <c r="AY365" t="e">
        <f t="shared" ca="1" si="16"/>
        <v>#N/A</v>
      </c>
      <c r="AZ365" t="e">
        <f t="shared" ca="1" si="16"/>
        <v>#N/A</v>
      </c>
      <c r="BA365" t="e">
        <f t="shared" ca="1" si="16"/>
        <v>#N/A</v>
      </c>
      <c r="BB365" t="e">
        <f t="shared" ca="1" si="16"/>
        <v>#N/A</v>
      </c>
      <c r="BC365" t="e">
        <f t="shared" ca="1" si="16"/>
        <v>#N/A</v>
      </c>
      <c r="BD365" t="e">
        <f t="shared" ca="1" si="16"/>
        <v>#N/A</v>
      </c>
      <c r="BE365" t="e">
        <f t="shared" ca="1" si="17"/>
        <v>#N/A</v>
      </c>
      <c r="BF365" t="e">
        <f t="shared" ca="1" si="17"/>
        <v>#N/A</v>
      </c>
      <c r="BG365" t="e">
        <f t="shared" ca="1" si="17"/>
        <v>#N/A</v>
      </c>
      <c r="BH365" t="e">
        <f t="shared" ca="1" si="17"/>
        <v>#N/A</v>
      </c>
      <c r="BI365" t="e">
        <f t="shared" ca="1" si="17"/>
        <v>#N/A</v>
      </c>
      <c r="BJ365" t="e">
        <f t="shared" ca="1" si="17"/>
        <v>#N/A</v>
      </c>
      <c r="BK365" t="e">
        <f t="shared" ca="1" si="17"/>
        <v>#N/A</v>
      </c>
      <c r="BL365" t="e">
        <f t="shared" ca="1" si="17"/>
        <v>#N/A</v>
      </c>
      <c r="BM365" t="e">
        <f t="shared" ca="1" si="17"/>
        <v>#N/A</v>
      </c>
      <c r="BN365" t="e">
        <f t="shared" ca="1" si="17"/>
        <v>#N/A</v>
      </c>
      <c r="BO365" t="e">
        <f t="shared" ca="1" si="18"/>
        <v>#N/A</v>
      </c>
      <c r="BP365" t="e">
        <f t="shared" ca="1" si="18"/>
        <v>#N/A</v>
      </c>
      <c r="BQ365" t="e">
        <f t="shared" ca="1" si="18"/>
        <v>#N/A</v>
      </c>
      <c r="BR365" t="e">
        <f t="shared" ca="1" si="18"/>
        <v>#N/A</v>
      </c>
      <c r="BS365" t="e">
        <f t="shared" ca="1" si="18"/>
        <v>#N/A</v>
      </c>
      <c r="BT365">
        <f t="shared" si="18"/>
        <v>0</v>
      </c>
      <c r="BU365">
        <f t="shared" si="18"/>
        <v>0</v>
      </c>
      <c r="BV365">
        <f t="shared" si="18"/>
        <v>0</v>
      </c>
      <c r="BW365">
        <f t="shared" si="18"/>
        <v>0</v>
      </c>
      <c r="BX365">
        <f t="shared" si="18"/>
        <v>0</v>
      </c>
      <c r="BY365">
        <f t="shared" si="19"/>
        <v>0</v>
      </c>
      <c r="BZ365">
        <f t="shared" si="19"/>
        <v>0</v>
      </c>
      <c r="CA365">
        <f t="shared" si="19"/>
        <v>0</v>
      </c>
      <c r="CB365">
        <f t="shared" si="19"/>
        <v>0</v>
      </c>
      <c r="CC365">
        <f t="shared" si="19"/>
        <v>0</v>
      </c>
      <c r="CD365">
        <f t="shared" si="19"/>
        <v>0</v>
      </c>
      <c r="CE365">
        <f t="shared" si="19"/>
        <v>0</v>
      </c>
      <c r="CF365">
        <f t="shared" si="19"/>
        <v>0</v>
      </c>
      <c r="CG365">
        <f t="shared" si="19"/>
        <v>0</v>
      </c>
      <c r="CH365">
        <f t="shared" si="19"/>
        <v>0</v>
      </c>
      <c r="CI365">
        <f t="shared" si="20"/>
        <v>0</v>
      </c>
      <c r="CJ365">
        <f t="shared" si="20"/>
        <v>0</v>
      </c>
      <c r="CK365">
        <f t="shared" si="20"/>
        <v>0</v>
      </c>
      <c r="CL365">
        <f t="shared" si="20"/>
        <v>0</v>
      </c>
      <c r="CM365">
        <f t="shared" si="20"/>
        <v>0</v>
      </c>
      <c r="CN365">
        <f t="shared" si="20"/>
        <v>0</v>
      </c>
      <c r="CO365">
        <f t="shared" si="20"/>
        <v>0</v>
      </c>
      <c r="CP365">
        <f t="shared" si="20"/>
        <v>0</v>
      </c>
      <c r="CQ365">
        <f t="shared" si="20"/>
        <v>0</v>
      </c>
      <c r="CR365">
        <f t="shared" si="20"/>
        <v>0</v>
      </c>
      <c r="CS365">
        <f t="shared" si="21"/>
        <v>0</v>
      </c>
      <c r="CT365">
        <f t="shared" si="21"/>
        <v>0</v>
      </c>
      <c r="CU365">
        <f t="shared" si="21"/>
        <v>0</v>
      </c>
      <c r="CV365">
        <f t="shared" si="21"/>
        <v>0</v>
      </c>
      <c r="CW365">
        <f t="shared" si="21"/>
        <v>0</v>
      </c>
      <c r="CX365">
        <f t="shared" si="21"/>
        <v>0</v>
      </c>
      <c r="CY365">
        <f t="shared" si="21"/>
        <v>0</v>
      </c>
      <c r="CZ365">
        <f t="shared" si="21"/>
        <v>0</v>
      </c>
      <c r="DA365">
        <f t="shared" si="21"/>
        <v>0</v>
      </c>
      <c r="DB365">
        <f t="shared" si="21"/>
        <v>0</v>
      </c>
      <c r="DD365" s="8">
        <f t="shared" si="22"/>
        <v>15</v>
      </c>
      <c r="DF365" t="e">
        <f t="shared" ca="1" si="23"/>
        <v>#N/A</v>
      </c>
      <c r="DG365" t="e">
        <f t="shared" ca="1" si="24"/>
        <v>#N/A</v>
      </c>
      <c r="DH365" t="e">
        <f ca="1">SUM($DF$360:DF365)/$DG$359</f>
        <v>#N/A</v>
      </c>
      <c r="DI365" t="e">
        <f t="shared" ca="1" si="25"/>
        <v>#N/A</v>
      </c>
      <c r="DK365">
        <v>6</v>
      </c>
      <c r="DP365" s="1"/>
      <c r="DQ365" s="1"/>
      <c r="DR365" s="1"/>
      <c r="DS365" s="1"/>
      <c r="DT365" s="1"/>
      <c r="DU365" s="1"/>
      <c r="DV365" s="1"/>
      <c r="DW365" s="1"/>
      <c r="DX365" s="1"/>
      <c r="DY365" s="1"/>
      <c r="DZ365" s="1"/>
      <c r="EA365" s="1"/>
    </row>
    <row r="366" spans="1:132" x14ac:dyDescent="0.25">
      <c r="G366" t="e">
        <f t="shared" ca="1" si="12"/>
        <v>#N/A</v>
      </c>
      <c r="H366" t="e">
        <f t="shared" ca="1" si="12"/>
        <v>#N/A</v>
      </c>
      <c r="I366" t="e">
        <f t="shared" ca="1" si="12"/>
        <v>#N/A</v>
      </c>
      <c r="J366" t="e">
        <f t="shared" ca="1" si="12"/>
        <v>#N/A</v>
      </c>
      <c r="K366" t="e">
        <f t="shared" ca="1" si="12"/>
        <v>#N/A</v>
      </c>
      <c r="L366" t="e">
        <f t="shared" ca="1" si="12"/>
        <v>#N/A</v>
      </c>
      <c r="M366" t="e">
        <f t="shared" ca="1" si="12"/>
        <v>#N/A</v>
      </c>
      <c r="N366" t="e">
        <f t="shared" ca="1" si="12"/>
        <v>#N/A</v>
      </c>
      <c r="O366" t="e">
        <f t="shared" ca="1" si="12"/>
        <v>#N/A</v>
      </c>
      <c r="P366" t="e">
        <f t="shared" ca="1" si="12"/>
        <v>#N/A</v>
      </c>
      <c r="Q366" t="e">
        <f t="shared" ca="1" si="13"/>
        <v>#N/A</v>
      </c>
      <c r="R366" t="e">
        <f t="shared" ca="1" si="13"/>
        <v>#N/A</v>
      </c>
      <c r="S366" t="e">
        <f t="shared" ca="1" si="13"/>
        <v>#N/A</v>
      </c>
      <c r="T366" t="e">
        <f t="shared" ca="1" si="13"/>
        <v>#N/A</v>
      </c>
      <c r="U366" t="e">
        <f t="shared" ca="1" si="13"/>
        <v>#N/A</v>
      </c>
      <c r="V366" t="e">
        <f t="shared" ca="1" si="13"/>
        <v>#N/A</v>
      </c>
      <c r="W366" t="e">
        <f t="shared" ca="1" si="13"/>
        <v>#N/A</v>
      </c>
      <c r="X366" t="e">
        <f t="shared" ca="1" si="13"/>
        <v>#N/A</v>
      </c>
      <c r="Y366" t="e">
        <f t="shared" ca="1" si="13"/>
        <v>#N/A</v>
      </c>
      <c r="Z366" t="e">
        <f t="shared" ca="1" si="13"/>
        <v>#N/A</v>
      </c>
      <c r="AA366" t="e">
        <f t="shared" ca="1" si="14"/>
        <v>#N/A</v>
      </c>
      <c r="AB366" t="e">
        <f t="shared" ca="1" si="14"/>
        <v>#N/A</v>
      </c>
      <c r="AC366" t="e">
        <f t="shared" ca="1" si="14"/>
        <v>#N/A</v>
      </c>
      <c r="AD366" t="e">
        <f t="shared" ca="1" si="14"/>
        <v>#N/A</v>
      </c>
      <c r="AE366" t="e">
        <f t="shared" ca="1" si="14"/>
        <v>#N/A</v>
      </c>
      <c r="AF366" t="e">
        <f t="shared" ca="1" si="14"/>
        <v>#N/A</v>
      </c>
      <c r="AG366" t="e">
        <f t="shared" ca="1" si="14"/>
        <v>#N/A</v>
      </c>
      <c r="AH366" t="e">
        <f t="shared" ca="1" si="14"/>
        <v>#N/A</v>
      </c>
      <c r="AI366" t="e">
        <f t="shared" ca="1" si="14"/>
        <v>#N/A</v>
      </c>
      <c r="AJ366" t="e">
        <f t="shared" ca="1" si="14"/>
        <v>#N/A</v>
      </c>
      <c r="AK366" t="e">
        <f t="shared" ca="1" si="15"/>
        <v>#N/A</v>
      </c>
      <c r="AL366" t="e">
        <f t="shared" ca="1" si="15"/>
        <v>#N/A</v>
      </c>
      <c r="AM366" t="e">
        <f t="shared" ca="1" si="15"/>
        <v>#N/A</v>
      </c>
      <c r="AN366" t="e">
        <f t="shared" ca="1" si="15"/>
        <v>#N/A</v>
      </c>
      <c r="AO366" t="e">
        <f t="shared" ca="1" si="15"/>
        <v>#N/A</v>
      </c>
      <c r="AP366" t="e">
        <f t="shared" ca="1" si="15"/>
        <v>#N/A</v>
      </c>
      <c r="AQ366" t="e">
        <f t="shared" ca="1" si="15"/>
        <v>#N/A</v>
      </c>
      <c r="AR366" t="e">
        <f t="shared" ca="1" si="15"/>
        <v>#N/A</v>
      </c>
      <c r="AS366" t="e">
        <f t="shared" ca="1" si="15"/>
        <v>#N/A</v>
      </c>
      <c r="AT366" t="e">
        <f t="shared" ca="1" si="15"/>
        <v>#N/A</v>
      </c>
      <c r="AU366" t="e">
        <f t="shared" ca="1" si="16"/>
        <v>#N/A</v>
      </c>
      <c r="AV366" t="e">
        <f t="shared" ca="1" si="16"/>
        <v>#N/A</v>
      </c>
      <c r="AW366" t="e">
        <f t="shared" ca="1" si="16"/>
        <v>#N/A</v>
      </c>
      <c r="AX366" t="e">
        <f t="shared" ca="1" si="16"/>
        <v>#N/A</v>
      </c>
      <c r="AY366" t="e">
        <f t="shared" ca="1" si="16"/>
        <v>#N/A</v>
      </c>
      <c r="AZ366" t="e">
        <f t="shared" ca="1" si="16"/>
        <v>#N/A</v>
      </c>
      <c r="BA366" t="e">
        <f t="shared" ca="1" si="16"/>
        <v>#N/A</v>
      </c>
      <c r="BB366" t="e">
        <f t="shared" ca="1" si="16"/>
        <v>#N/A</v>
      </c>
      <c r="BC366" t="e">
        <f t="shared" ca="1" si="16"/>
        <v>#N/A</v>
      </c>
      <c r="BD366" t="e">
        <f t="shared" ca="1" si="16"/>
        <v>#N/A</v>
      </c>
      <c r="BE366" t="e">
        <f t="shared" ca="1" si="17"/>
        <v>#N/A</v>
      </c>
      <c r="BF366" t="e">
        <f t="shared" ca="1" si="17"/>
        <v>#N/A</v>
      </c>
      <c r="BG366" t="e">
        <f t="shared" ca="1" si="17"/>
        <v>#N/A</v>
      </c>
      <c r="BH366" t="e">
        <f t="shared" ca="1" si="17"/>
        <v>#N/A</v>
      </c>
      <c r="BI366" t="e">
        <f t="shared" ca="1" si="17"/>
        <v>#N/A</v>
      </c>
      <c r="BJ366" t="e">
        <f t="shared" ca="1" si="17"/>
        <v>#N/A</v>
      </c>
      <c r="BK366" t="e">
        <f t="shared" ca="1" si="17"/>
        <v>#N/A</v>
      </c>
      <c r="BL366" t="e">
        <f t="shared" ca="1" si="17"/>
        <v>#N/A</v>
      </c>
      <c r="BM366" t="e">
        <f t="shared" ca="1" si="17"/>
        <v>#N/A</v>
      </c>
      <c r="BN366" t="e">
        <f t="shared" ca="1" si="17"/>
        <v>#N/A</v>
      </c>
      <c r="BO366" t="e">
        <f t="shared" ca="1" si="18"/>
        <v>#N/A</v>
      </c>
      <c r="BP366" t="e">
        <f t="shared" ca="1" si="18"/>
        <v>#N/A</v>
      </c>
      <c r="BQ366" t="e">
        <f t="shared" ca="1" si="18"/>
        <v>#N/A</v>
      </c>
      <c r="BR366" t="e">
        <f t="shared" ca="1" si="18"/>
        <v>#N/A</v>
      </c>
      <c r="BS366">
        <f t="shared" si="18"/>
        <v>0</v>
      </c>
      <c r="BT366">
        <f t="shared" si="18"/>
        <v>0</v>
      </c>
      <c r="BU366">
        <f t="shared" si="18"/>
        <v>0</v>
      </c>
      <c r="BV366">
        <f t="shared" si="18"/>
        <v>0</v>
      </c>
      <c r="BW366">
        <f t="shared" si="18"/>
        <v>0</v>
      </c>
      <c r="BX366">
        <f t="shared" si="18"/>
        <v>0</v>
      </c>
      <c r="BY366">
        <f t="shared" si="19"/>
        <v>0</v>
      </c>
      <c r="BZ366">
        <f t="shared" si="19"/>
        <v>0</v>
      </c>
      <c r="CA366">
        <f t="shared" si="19"/>
        <v>0</v>
      </c>
      <c r="CB366">
        <f t="shared" si="19"/>
        <v>0</v>
      </c>
      <c r="CC366">
        <f t="shared" si="19"/>
        <v>0</v>
      </c>
      <c r="CD366">
        <f t="shared" si="19"/>
        <v>0</v>
      </c>
      <c r="CE366">
        <f t="shared" si="19"/>
        <v>0</v>
      </c>
      <c r="CF366">
        <f t="shared" si="19"/>
        <v>0</v>
      </c>
      <c r="CG366">
        <f t="shared" si="19"/>
        <v>0</v>
      </c>
      <c r="CH366">
        <f t="shared" si="19"/>
        <v>0</v>
      </c>
      <c r="CI366">
        <f t="shared" si="20"/>
        <v>0</v>
      </c>
      <c r="CJ366">
        <f t="shared" si="20"/>
        <v>0</v>
      </c>
      <c r="CK366">
        <f t="shared" si="20"/>
        <v>0</v>
      </c>
      <c r="CL366">
        <f t="shared" si="20"/>
        <v>0</v>
      </c>
      <c r="CM366">
        <f t="shared" si="20"/>
        <v>0</v>
      </c>
      <c r="CN366">
        <f t="shared" si="20"/>
        <v>0</v>
      </c>
      <c r="CO366">
        <f t="shared" si="20"/>
        <v>0</v>
      </c>
      <c r="CP366">
        <f t="shared" si="20"/>
        <v>0</v>
      </c>
      <c r="CQ366">
        <f t="shared" si="20"/>
        <v>0</v>
      </c>
      <c r="CR366">
        <f t="shared" si="20"/>
        <v>0</v>
      </c>
      <c r="CS366">
        <f t="shared" si="21"/>
        <v>0</v>
      </c>
      <c r="CT366">
        <f t="shared" si="21"/>
        <v>0</v>
      </c>
      <c r="CU366">
        <f t="shared" si="21"/>
        <v>0</v>
      </c>
      <c r="CV366">
        <f t="shared" si="21"/>
        <v>0</v>
      </c>
      <c r="CW366">
        <f t="shared" si="21"/>
        <v>0</v>
      </c>
      <c r="CX366">
        <f t="shared" si="21"/>
        <v>0</v>
      </c>
      <c r="CY366">
        <f t="shared" si="21"/>
        <v>0</v>
      </c>
      <c r="CZ366">
        <f t="shared" si="21"/>
        <v>0</v>
      </c>
      <c r="DA366">
        <f t="shared" si="21"/>
        <v>0</v>
      </c>
      <c r="DB366">
        <f t="shared" si="21"/>
        <v>0</v>
      </c>
      <c r="DD366" s="8">
        <f t="shared" si="22"/>
        <v>14</v>
      </c>
      <c r="DF366" t="e">
        <f t="shared" ca="1" si="23"/>
        <v>#N/A</v>
      </c>
      <c r="DG366" t="e">
        <f t="shared" ca="1" si="24"/>
        <v>#N/A</v>
      </c>
      <c r="DH366" t="e">
        <f ca="1">SUM($DF$360:DF366)/$DG$359</f>
        <v>#N/A</v>
      </c>
      <c r="DI366" t="e">
        <f t="shared" ca="1" si="25"/>
        <v>#N/A</v>
      </c>
      <c r="DK366">
        <v>7</v>
      </c>
      <c r="DP366" s="1"/>
      <c r="DQ366" s="1"/>
      <c r="DR366" s="1"/>
      <c r="DS366" s="1"/>
      <c r="DT366" s="1"/>
      <c r="DU366" s="1"/>
      <c r="DV366" s="1"/>
      <c r="DW366" s="1"/>
      <c r="DX366" s="1"/>
      <c r="DY366" s="1"/>
      <c r="DZ366" s="1"/>
      <c r="EA366" s="1"/>
    </row>
    <row r="367" spans="1:132" x14ac:dyDescent="0.25">
      <c r="G367" t="e">
        <f t="shared" ca="1" si="12"/>
        <v>#N/A</v>
      </c>
      <c r="H367" t="e">
        <f t="shared" ca="1" si="12"/>
        <v>#N/A</v>
      </c>
      <c r="I367" t="e">
        <f t="shared" ca="1" si="12"/>
        <v>#N/A</v>
      </c>
      <c r="J367" t="e">
        <f t="shared" ca="1" si="12"/>
        <v>#N/A</v>
      </c>
      <c r="K367" t="e">
        <f t="shared" ca="1" si="12"/>
        <v>#N/A</v>
      </c>
      <c r="L367" t="e">
        <f t="shared" ca="1" si="12"/>
        <v>#N/A</v>
      </c>
      <c r="M367" t="e">
        <f t="shared" ca="1" si="12"/>
        <v>#N/A</v>
      </c>
      <c r="N367" t="e">
        <f t="shared" ca="1" si="12"/>
        <v>#N/A</v>
      </c>
      <c r="O367" t="e">
        <f t="shared" ca="1" si="12"/>
        <v>#N/A</v>
      </c>
      <c r="P367" t="e">
        <f t="shared" ca="1" si="12"/>
        <v>#N/A</v>
      </c>
      <c r="Q367" t="e">
        <f t="shared" ca="1" si="13"/>
        <v>#N/A</v>
      </c>
      <c r="R367" t="e">
        <f t="shared" ca="1" si="13"/>
        <v>#N/A</v>
      </c>
      <c r="S367" t="e">
        <f t="shared" ca="1" si="13"/>
        <v>#N/A</v>
      </c>
      <c r="T367" t="e">
        <f t="shared" ca="1" si="13"/>
        <v>#N/A</v>
      </c>
      <c r="U367" t="e">
        <f t="shared" ca="1" si="13"/>
        <v>#N/A</v>
      </c>
      <c r="V367" t="e">
        <f t="shared" ca="1" si="13"/>
        <v>#N/A</v>
      </c>
      <c r="W367" t="e">
        <f t="shared" ca="1" si="13"/>
        <v>#N/A</v>
      </c>
      <c r="X367" t="e">
        <f t="shared" ca="1" si="13"/>
        <v>#N/A</v>
      </c>
      <c r="Y367" t="e">
        <f t="shared" ca="1" si="13"/>
        <v>#N/A</v>
      </c>
      <c r="Z367" t="e">
        <f t="shared" ca="1" si="13"/>
        <v>#N/A</v>
      </c>
      <c r="AA367" t="e">
        <f t="shared" ca="1" si="14"/>
        <v>#N/A</v>
      </c>
      <c r="AB367" t="e">
        <f t="shared" ca="1" si="14"/>
        <v>#N/A</v>
      </c>
      <c r="AC367" t="e">
        <f t="shared" ca="1" si="14"/>
        <v>#N/A</v>
      </c>
      <c r="AD367" t="e">
        <f t="shared" ca="1" si="14"/>
        <v>#N/A</v>
      </c>
      <c r="AE367" t="e">
        <f t="shared" ca="1" si="14"/>
        <v>#N/A</v>
      </c>
      <c r="AF367" t="e">
        <f t="shared" ca="1" si="14"/>
        <v>#N/A</v>
      </c>
      <c r="AG367" t="e">
        <f t="shared" ca="1" si="14"/>
        <v>#N/A</v>
      </c>
      <c r="AH367" t="e">
        <f t="shared" ca="1" si="14"/>
        <v>#N/A</v>
      </c>
      <c r="AI367" t="e">
        <f t="shared" ca="1" si="14"/>
        <v>#N/A</v>
      </c>
      <c r="AJ367" t="e">
        <f t="shared" ca="1" si="14"/>
        <v>#N/A</v>
      </c>
      <c r="AK367" t="e">
        <f t="shared" ca="1" si="15"/>
        <v>#N/A</v>
      </c>
      <c r="AL367" t="e">
        <f t="shared" ca="1" si="15"/>
        <v>#N/A</v>
      </c>
      <c r="AM367" t="e">
        <f t="shared" ca="1" si="15"/>
        <v>#N/A</v>
      </c>
      <c r="AN367" t="e">
        <f t="shared" ca="1" si="15"/>
        <v>#N/A</v>
      </c>
      <c r="AO367" t="e">
        <f t="shared" ca="1" si="15"/>
        <v>#N/A</v>
      </c>
      <c r="AP367" t="e">
        <f t="shared" ca="1" si="15"/>
        <v>#N/A</v>
      </c>
      <c r="AQ367" t="e">
        <f t="shared" ca="1" si="15"/>
        <v>#N/A</v>
      </c>
      <c r="AR367" t="e">
        <f t="shared" ca="1" si="15"/>
        <v>#N/A</v>
      </c>
      <c r="AS367" t="e">
        <f t="shared" ca="1" si="15"/>
        <v>#N/A</v>
      </c>
      <c r="AT367" t="e">
        <f t="shared" ca="1" si="15"/>
        <v>#N/A</v>
      </c>
      <c r="AU367" t="e">
        <f t="shared" ca="1" si="16"/>
        <v>#N/A</v>
      </c>
      <c r="AV367" t="e">
        <f t="shared" ca="1" si="16"/>
        <v>#N/A</v>
      </c>
      <c r="AW367" t="e">
        <f t="shared" ca="1" si="16"/>
        <v>#N/A</v>
      </c>
      <c r="AX367" t="e">
        <f t="shared" ca="1" si="16"/>
        <v>#N/A</v>
      </c>
      <c r="AY367" t="e">
        <f t="shared" ca="1" si="16"/>
        <v>#N/A</v>
      </c>
      <c r="AZ367" t="e">
        <f t="shared" ca="1" si="16"/>
        <v>#N/A</v>
      </c>
      <c r="BA367" t="e">
        <f t="shared" ca="1" si="16"/>
        <v>#N/A</v>
      </c>
      <c r="BB367" t="e">
        <f t="shared" ca="1" si="16"/>
        <v>#N/A</v>
      </c>
      <c r="BC367" t="e">
        <f t="shared" ca="1" si="16"/>
        <v>#N/A</v>
      </c>
      <c r="BD367" t="e">
        <f t="shared" ca="1" si="16"/>
        <v>#N/A</v>
      </c>
      <c r="BE367" t="e">
        <f t="shared" ca="1" si="17"/>
        <v>#N/A</v>
      </c>
      <c r="BF367" t="e">
        <f t="shared" ca="1" si="17"/>
        <v>#N/A</v>
      </c>
      <c r="BG367" t="e">
        <f t="shared" ca="1" si="17"/>
        <v>#N/A</v>
      </c>
      <c r="BH367" t="e">
        <f t="shared" ca="1" si="17"/>
        <v>#N/A</v>
      </c>
      <c r="BI367" t="e">
        <f t="shared" ca="1" si="17"/>
        <v>#N/A</v>
      </c>
      <c r="BJ367" t="e">
        <f t="shared" ca="1" si="17"/>
        <v>#N/A</v>
      </c>
      <c r="BK367" t="e">
        <f t="shared" ca="1" si="17"/>
        <v>#N/A</v>
      </c>
      <c r="BL367" t="e">
        <f t="shared" ca="1" si="17"/>
        <v>#N/A</v>
      </c>
      <c r="BM367" t="e">
        <f t="shared" ca="1" si="17"/>
        <v>#N/A</v>
      </c>
      <c r="BN367" t="e">
        <f t="shared" ca="1" si="17"/>
        <v>#N/A</v>
      </c>
      <c r="BO367" t="e">
        <f t="shared" ca="1" si="18"/>
        <v>#N/A</v>
      </c>
      <c r="BP367" t="e">
        <f t="shared" ca="1" si="18"/>
        <v>#N/A</v>
      </c>
      <c r="BQ367" t="e">
        <f t="shared" ca="1" si="18"/>
        <v>#N/A</v>
      </c>
      <c r="BR367">
        <f t="shared" si="18"/>
        <v>0</v>
      </c>
      <c r="BS367">
        <f t="shared" si="18"/>
        <v>0</v>
      </c>
      <c r="BT367">
        <f t="shared" si="18"/>
        <v>0</v>
      </c>
      <c r="BU367">
        <f t="shared" si="18"/>
        <v>0</v>
      </c>
      <c r="BV367">
        <f t="shared" si="18"/>
        <v>0</v>
      </c>
      <c r="BW367">
        <f t="shared" si="18"/>
        <v>0</v>
      </c>
      <c r="BX367">
        <f t="shared" si="18"/>
        <v>0</v>
      </c>
      <c r="BY367">
        <f t="shared" si="19"/>
        <v>0</v>
      </c>
      <c r="BZ367">
        <f t="shared" si="19"/>
        <v>0</v>
      </c>
      <c r="CA367">
        <f t="shared" si="19"/>
        <v>0</v>
      </c>
      <c r="CB367">
        <f t="shared" si="19"/>
        <v>0</v>
      </c>
      <c r="CC367">
        <f t="shared" si="19"/>
        <v>0</v>
      </c>
      <c r="CD367">
        <f t="shared" si="19"/>
        <v>0</v>
      </c>
      <c r="CE367">
        <f t="shared" si="19"/>
        <v>0</v>
      </c>
      <c r="CF367">
        <f t="shared" si="19"/>
        <v>0</v>
      </c>
      <c r="CG367">
        <f t="shared" si="19"/>
        <v>0</v>
      </c>
      <c r="CH367">
        <f t="shared" si="19"/>
        <v>0</v>
      </c>
      <c r="CI367">
        <f t="shared" si="20"/>
        <v>0</v>
      </c>
      <c r="CJ367">
        <f t="shared" si="20"/>
        <v>0</v>
      </c>
      <c r="CK367">
        <f t="shared" si="20"/>
        <v>0</v>
      </c>
      <c r="CL367">
        <f t="shared" si="20"/>
        <v>0</v>
      </c>
      <c r="CM367">
        <f t="shared" si="20"/>
        <v>0</v>
      </c>
      <c r="CN367">
        <f t="shared" si="20"/>
        <v>0</v>
      </c>
      <c r="CO367">
        <f t="shared" si="20"/>
        <v>0</v>
      </c>
      <c r="CP367">
        <f t="shared" si="20"/>
        <v>0</v>
      </c>
      <c r="CQ367">
        <f t="shared" si="20"/>
        <v>0</v>
      </c>
      <c r="CR367">
        <f t="shared" si="20"/>
        <v>0</v>
      </c>
      <c r="CS367">
        <f t="shared" si="21"/>
        <v>0</v>
      </c>
      <c r="CT367">
        <f t="shared" si="21"/>
        <v>0</v>
      </c>
      <c r="CU367">
        <f t="shared" si="21"/>
        <v>0</v>
      </c>
      <c r="CV367">
        <f t="shared" si="21"/>
        <v>0</v>
      </c>
      <c r="CW367">
        <f t="shared" si="21"/>
        <v>0</v>
      </c>
      <c r="CX367">
        <f t="shared" si="21"/>
        <v>0</v>
      </c>
      <c r="CY367">
        <f t="shared" si="21"/>
        <v>0</v>
      </c>
      <c r="CZ367">
        <f t="shared" si="21"/>
        <v>0</v>
      </c>
      <c r="DA367">
        <f t="shared" si="21"/>
        <v>0</v>
      </c>
      <c r="DB367">
        <f t="shared" si="21"/>
        <v>0</v>
      </c>
      <c r="DD367" s="8">
        <f t="shared" si="22"/>
        <v>13</v>
      </c>
      <c r="DF367" t="e">
        <f t="shared" ca="1" si="23"/>
        <v>#N/A</v>
      </c>
      <c r="DG367" t="e">
        <f t="shared" ca="1" si="24"/>
        <v>#N/A</v>
      </c>
      <c r="DH367" t="e">
        <f ca="1">SUM($DF$360:DF367)/$DG$359</f>
        <v>#N/A</v>
      </c>
      <c r="DI367" t="e">
        <f t="shared" ca="1" si="25"/>
        <v>#N/A</v>
      </c>
      <c r="DK367">
        <v>8</v>
      </c>
      <c r="DP367" s="1"/>
      <c r="DQ367" s="1"/>
      <c r="DR367" s="1"/>
      <c r="DS367" s="1"/>
      <c r="DT367" s="1"/>
      <c r="DU367" s="1"/>
      <c r="DV367" s="1"/>
      <c r="DW367" s="1"/>
      <c r="DX367" s="1"/>
      <c r="DY367" s="1"/>
      <c r="DZ367" s="1"/>
      <c r="EA367" s="1"/>
    </row>
    <row r="368" spans="1:132" x14ac:dyDescent="0.25">
      <c r="G368" t="e">
        <f t="shared" ca="1" si="12"/>
        <v>#N/A</v>
      </c>
      <c r="H368" t="e">
        <f t="shared" ca="1" si="12"/>
        <v>#N/A</v>
      </c>
      <c r="I368" t="e">
        <f t="shared" ca="1" si="12"/>
        <v>#N/A</v>
      </c>
      <c r="J368" t="e">
        <f t="shared" ca="1" si="12"/>
        <v>#N/A</v>
      </c>
      <c r="K368" t="e">
        <f t="shared" ca="1" si="12"/>
        <v>#N/A</v>
      </c>
      <c r="L368" t="e">
        <f t="shared" ca="1" si="12"/>
        <v>#N/A</v>
      </c>
      <c r="M368" t="e">
        <f t="shared" ca="1" si="12"/>
        <v>#N/A</v>
      </c>
      <c r="N368" t="e">
        <f t="shared" ca="1" si="12"/>
        <v>#N/A</v>
      </c>
      <c r="O368" t="e">
        <f t="shared" ca="1" si="12"/>
        <v>#N/A</v>
      </c>
      <c r="P368" t="e">
        <f t="shared" ca="1" si="12"/>
        <v>#N/A</v>
      </c>
      <c r="Q368" t="e">
        <f t="shared" ca="1" si="13"/>
        <v>#N/A</v>
      </c>
      <c r="R368" t="e">
        <f t="shared" ca="1" si="13"/>
        <v>#N/A</v>
      </c>
      <c r="S368" t="e">
        <f t="shared" ca="1" si="13"/>
        <v>#N/A</v>
      </c>
      <c r="T368" t="e">
        <f t="shared" ca="1" si="13"/>
        <v>#N/A</v>
      </c>
      <c r="U368" t="e">
        <f t="shared" ca="1" si="13"/>
        <v>#N/A</v>
      </c>
      <c r="V368" t="e">
        <f t="shared" ca="1" si="13"/>
        <v>#N/A</v>
      </c>
      <c r="W368" t="e">
        <f t="shared" ca="1" si="13"/>
        <v>#N/A</v>
      </c>
      <c r="X368" t="e">
        <f t="shared" ca="1" si="13"/>
        <v>#N/A</v>
      </c>
      <c r="Y368" t="e">
        <f t="shared" ca="1" si="13"/>
        <v>#N/A</v>
      </c>
      <c r="Z368" t="e">
        <f t="shared" ca="1" si="13"/>
        <v>#N/A</v>
      </c>
      <c r="AA368" t="e">
        <f t="shared" ca="1" si="14"/>
        <v>#N/A</v>
      </c>
      <c r="AB368" t="e">
        <f t="shared" ca="1" si="14"/>
        <v>#N/A</v>
      </c>
      <c r="AC368" t="e">
        <f t="shared" ca="1" si="14"/>
        <v>#N/A</v>
      </c>
      <c r="AD368" t="e">
        <f t="shared" ca="1" si="14"/>
        <v>#N/A</v>
      </c>
      <c r="AE368" t="e">
        <f t="shared" ca="1" si="14"/>
        <v>#N/A</v>
      </c>
      <c r="AF368" t="e">
        <f t="shared" ca="1" si="14"/>
        <v>#N/A</v>
      </c>
      <c r="AG368" t="e">
        <f t="shared" ca="1" si="14"/>
        <v>#N/A</v>
      </c>
      <c r="AH368" t="e">
        <f t="shared" ca="1" si="14"/>
        <v>#N/A</v>
      </c>
      <c r="AI368" t="e">
        <f t="shared" ca="1" si="14"/>
        <v>#N/A</v>
      </c>
      <c r="AJ368" t="e">
        <f t="shared" ca="1" si="14"/>
        <v>#N/A</v>
      </c>
      <c r="AK368" t="e">
        <f t="shared" ca="1" si="15"/>
        <v>#N/A</v>
      </c>
      <c r="AL368" t="e">
        <f t="shared" ca="1" si="15"/>
        <v>#N/A</v>
      </c>
      <c r="AM368" t="e">
        <f t="shared" ca="1" si="15"/>
        <v>#N/A</v>
      </c>
      <c r="AN368" t="e">
        <f t="shared" ca="1" si="15"/>
        <v>#N/A</v>
      </c>
      <c r="AO368" t="e">
        <f t="shared" ca="1" si="15"/>
        <v>#N/A</v>
      </c>
      <c r="AP368" t="e">
        <f t="shared" ca="1" si="15"/>
        <v>#N/A</v>
      </c>
      <c r="AQ368" t="e">
        <f t="shared" ca="1" si="15"/>
        <v>#N/A</v>
      </c>
      <c r="AR368" t="e">
        <f t="shared" ca="1" si="15"/>
        <v>#N/A</v>
      </c>
      <c r="AS368" t="e">
        <f t="shared" ca="1" si="15"/>
        <v>#N/A</v>
      </c>
      <c r="AT368" t="e">
        <f t="shared" ca="1" si="15"/>
        <v>#N/A</v>
      </c>
      <c r="AU368" t="e">
        <f t="shared" ca="1" si="16"/>
        <v>#N/A</v>
      </c>
      <c r="AV368" t="e">
        <f t="shared" ca="1" si="16"/>
        <v>#N/A</v>
      </c>
      <c r="AW368" t="e">
        <f t="shared" ca="1" si="16"/>
        <v>#N/A</v>
      </c>
      <c r="AX368" t="e">
        <f t="shared" ca="1" si="16"/>
        <v>#N/A</v>
      </c>
      <c r="AY368" t="e">
        <f t="shared" ca="1" si="16"/>
        <v>#N/A</v>
      </c>
      <c r="AZ368" t="e">
        <f t="shared" ca="1" si="16"/>
        <v>#N/A</v>
      </c>
      <c r="BA368" t="e">
        <f t="shared" ca="1" si="16"/>
        <v>#N/A</v>
      </c>
      <c r="BB368" t="e">
        <f t="shared" ca="1" si="16"/>
        <v>#N/A</v>
      </c>
      <c r="BC368" t="e">
        <f t="shared" ca="1" si="16"/>
        <v>#N/A</v>
      </c>
      <c r="BD368" t="e">
        <f t="shared" ca="1" si="16"/>
        <v>#N/A</v>
      </c>
      <c r="BE368" t="e">
        <f t="shared" ca="1" si="17"/>
        <v>#N/A</v>
      </c>
      <c r="BF368" t="e">
        <f t="shared" ca="1" si="17"/>
        <v>#N/A</v>
      </c>
      <c r="BG368" t="e">
        <f t="shared" ca="1" si="17"/>
        <v>#N/A</v>
      </c>
      <c r="BH368" t="e">
        <f t="shared" ca="1" si="17"/>
        <v>#N/A</v>
      </c>
      <c r="BI368" t="e">
        <f t="shared" ca="1" si="17"/>
        <v>#N/A</v>
      </c>
      <c r="BJ368" t="e">
        <f t="shared" ca="1" si="17"/>
        <v>#N/A</v>
      </c>
      <c r="BK368" t="e">
        <f t="shared" ca="1" si="17"/>
        <v>#N/A</v>
      </c>
      <c r="BL368" t="e">
        <f t="shared" ca="1" si="17"/>
        <v>#N/A</v>
      </c>
      <c r="BM368" t="e">
        <f t="shared" ca="1" si="17"/>
        <v>#N/A</v>
      </c>
      <c r="BN368" t="e">
        <f t="shared" ca="1" si="17"/>
        <v>#N/A</v>
      </c>
      <c r="BO368" t="e">
        <f t="shared" ca="1" si="18"/>
        <v>#N/A</v>
      </c>
      <c r="BP368" t="e">
        <f t="shared" ca="1" si="18"/>
        <v>#N/A</v>
      </c>
      <c r="BQ368">
        <f t="shared" si="18"/>
        <v>0</v>
      </c>
      <c r="BR368">
        <f t="shared" si="18"/>
        <v>0</v>
      </c>
      <c r="BS368">
        <f t="shared" si="18"/>
        <v>0</v>
      </c>
      <c r="BT368">
        <f t="shared" si="18"/>
        <v>0</v>
      </c>
      <c r="BU368">
        <f t="shared" si="18"/>
        <v>0</v>
      </c>
      <c r="BV368">
        <f t="shared" si="18"/>
        <v>0</v>
      </c>
      <c r="BW368">
        <f t="shared" si="18"/>
        <v>0</v>
      </c>
      <c r="BX368">
        <f t="shared" si="18"/>
        <v>0</v>
      </c>
      <c r="BY368">
        <f t="shared" si="19"/>
        <v>0</v>
      </c>
      <c r="BZ368">
        <f t="shared" si="19"/>
        <v>0</v>
      </c>
      <c r="CA368">
        <f t="shared" si="19"/>
        <v>0</v>
      </c>
      <c r="CB368">
        <f t="shared" si="19"/>
        <v>0</v>
      </c>
      <c r="CC368">
        <f t="shared" si="19"/>
        <v>0</v>
      </c>
      <c r="CD368">
        <f t="shared" si="19"/>
        <v>0</v>
      </c>
      <c r="CE368">
        <f t="shared" si="19"/>
        <v>0</v>
      </c>
      <c r="CF368">
        <f t="shared" si="19"/>
        <v>0</v>
      </c>
      <c r="CG368">
        <f t="shared" si="19"/>
        <v>0</v>
      </c>
      <c r="CH368">
        <f t="shared" si="19"/>
        <v>0</v>
      </c>
      <c r="CI368">
        <f t="shared" si="20"/>
        <v>0</v>
      </c>
      <c r="CJ368">
        <f t="shared" si="20"/>
        <v>0</v>
      </c>
      <c r="CK368">
        <f t="shared" si="20"/>
        <v>0</v>
      </c>
      <c r="CL368">
        <f t="shared" si="20"/>
        <v>0</v>
      </c>
      <c r="CM368">
        <f t="shared" si="20"/>
        <v>0</v>
      </c>
      <c r="CN368">
        <f t="shared" si="20"/>
        <v>0</v>
      </c>
      <c r="CO368">
        <f t="shared" si="20"/>
        <v>0</v>
      </c>
      <c r="CP368">
        <f t="shared" si="20"/>
        <v>0</v>
      </c>
      <c r="CQ368">
        <f t="shared" si="20"/>
        <v>0</v>
      </c>
      <c r="CR368">
        <f t="shared" si="20"/>
        <v>0</v>
      </c>
      <c r="CS368">
        <f t="shared" si="21"/>
        <v>0</v>
      </c>
      <c r="CT368">
        <f t="shared" si="21"/>
        <v>0</v>
      </c>
      <c r="CU368">
        <f t="shared" si="21"/>
        <v>0</v>
      </c>
      <c r="CV368">
        <f t="shared" si="21"/>
        <v>0</v>
      </c>
      <c r="CW368">
        <f t="shared" si="21"/>
        <v>0</v>
      </c>
      <c r="CX368">
        <f t="shared" si="21"/>
        <v>0</v>
      </c>
      <c r="CY368">
        <f t="shared" si="21"/>
        <v>0</v>
      </c>
      <c r="CZ368">
        <f t="shared" si="21"/>
        <v>0</v>
      </c>
      <c r="DA368">
        <f t="shared" si="21"/>
        <v>0</v>
      </c>
      <c r="DB368">
        <f t="shared" si="21"/>
        <v>0</v>
      </c>
      <c r="DD368" s="8">
        <f t="shared" si="22"/>
        <v>12</v>
      </c>
      <c r="DF368" t="e">
        <f t="shared" ca="1" si="23"/>
        <v>#N/A</v>
      </c>
      <c r="DG368" t="e">
        <f t="shared" ca="1" si="24"/>
        <v>#N/A</v>
      </c>
      <c r="DH368" t="e">
        <f ca="1">SUM($DF$360:DF368)/$DG$359</f>
        <v>#N/A</v>
      </c>
      <c r="DI368" t="e">
        <f t="shared" ca="1" si="25"/>
        <v>#N/A</v>
      </c>
      <c r="DK368">
        <v>9</v>
      </c>
      <c r="DP368" s="1"/>
      <c r="DQ368" s="1"/>
      <c r="DR368" s="1"/>
      <c r="DS368" s="1"/>
      <c r="DT368" s="1"/>
      <c r="DU368" s="1"/>
      <c r="DV368" s="1"/>
      <c r="DW368" s="1"/>
      <c r="DX368" s="1"/>
      <c r="DY368" s="1"/>
      <c r="DZ368" s="1"/>
      <c r="EA368" s="1"/>
    </row>
    <row r="369" spans="7:131" x14ac:dyDescent="0.25">
      <c r="G369" t="e">
        <f t="shared" ref="G369:P378" ca="1" si="26">IF(G$1&lt;$DD369,G$358,0)</f>
        <v>#N/A</v>
      </c>
      <c r="H369" t="e">
        <f t="shared" ca="1" si="26"/>
        <v>#N/A</v>
      </c>
      <c r="I369" t="e">
        <f t="shared" ca="1" si="26"/>
        <v>#N/A</v>
      </c>
      <c r="J369" t="e">
        <f t="shared" ca="1" si="26"/>
        <v>#N/A</v>
      </c>
      <c r="K369" t="e">
        <f t="shared" ca="1" si="26"/>
        <v>#N/A</v>
      </c>
      <c r="L369" t="e">
        <f t="shared" ca="1" si="26"/>
        <v>#N/A</v>
      </c>
      <c r="M369" t="e">
        <f t="shared" ca="1" si="26"/>
        <v>#N/A</v>
      </c>
      <c r="N369" t="e">
        <f t="shared" ca="1" si="26"/>
        <v>#N/A</v>
      </c>
      <c r="O369" t="e">
        <f t="shared" ca="1" si="26"/>
        <v>#N/A</v>
      </c>
      <c r="P369" t="e">
        <f t="shared" ca="1" si="26"/>
        <v>#N/A</v>
      </c>
      <c r="Q369" t="e">
        <f t="shared" ref="Q369:Z378" ca="1" si="27">IF(Q$1&lt;$DD369,Q$358,0)</f>
        <v>#N/A</v>
      </c>
      <c r="R369" t="e">
        <f t="shared" ca="1" si="27"/>
        <v>#N/A</v>
      </c>
      <c r="S369" t="e">
        <f t="shared" ca="1" si="27"/>
        <v>#N/A</v>
      </c>
      <c r="T369" t="e">
        <f t="shared" ca="1" si="27"/>
        <v>#N/A</v>
      </c>
      <c r="U369" t="e">
        <f t="shared" ca="1" si="27"/>
        <v>#N/A</v>
      </c>
      <c r="V369" t="e">
        <f t="shared" ca="1" si="27"/>
        <v>#N/A</v>
      </c>
      <c r="W369" t="e">
        <f t="shared" ca="1" si="27"/>
        <v>#N/A</v>
      </c>
      <c r="X369" t="e">
        <f t="shared" ca="1" si="27"/>
        <v>#N/A</v>
      </c>
      <c r="Y369" t="e">
        <f t="shared" ca="1" si="27"/>
        <v>#N/A</v>
      </c>
      <c r="Z369" t="e">
        <f t="shared" ca="1" si="27"/>
        <v>#N/A</v>
      </c>
      <c r="AA369" t="e">
        <f t="shared" ref="AA369:AJ378" ca="1" si="28">IF(AA$1&lt;$DD369,AA$358,0)</f>
        <v>#N/A</v>
      </c>
      <c r="AB369" t="e">
        <f t="shared" ca="1" si="28"/>
        <v>#N/A</v>
      </c>
      <c r="AC369" t="e">
        <f t="shared" ca="1" si="28"/>
        <v>#N/A</v>
      </c>
      <c r="AD369" t="e">
        <f t="shared" ca="1" si="28"/>
        <v>#N/A</v>
      </c>
      <c r="AE369" t="e">
        <f t="shared" ca="1" si="28"/>
        <v>#N/A</v>
      </c>
      <c r="AF369" t="e">
        <f t="shared" ca="1" si="28"/>
        <v>#N/A</v>
      </c>
      <c r="AG369" t="e">
        <f t="shared" ca="1" si="28"/>
        <v>#N/A</v>
      </c>
      <c r="AH369" t="e">
        <f t="shared" ca="1" si="28"/>
        <v>#N/A</v>
      </c>
      <c r="AI369" t="e">
        <f t="shared" ca="1" si="28"/>
        <v>#N/A</v>
      </c>
      <c r="AJ369" t="e">
        <f t="shared" ca="1" si="28"/>
        <v>#N/A</v>
      </c>
      <c r="AK369" t="e">
        <f t="shared" ref="AK369:AT378" ca="1" si="29">IF(AK$1&lt;$DD369,AK$358,0)</f>
        <v>#N/A</v>
      </c>
      <c r="AL369" t="e">
        <f t="shared" ca="1" si="29"/>
        <v>#N/A</v>
      </c>
      <c r="AM369" t="e">
        <f t="shared" ca="1" si="29"/>
        <v>#N/A</v>
      </c>
      <c r="AN369" t="e">
        <f t="shared" ca="1" si="29"/>
        <v>#N/A</v>
      </c>
      <c r="AO369" t="e">
        <f t="shared" ca="1" si="29"/>
        <v>#N/A</v>
      </c>
      <c r="AP369" t="e">
        <f t="shared" ca="1" si="29"/>
        <v>#N/A</v>
      </c>
      <c r="AQ369" t="e">
        <f t="shared" ca="1" si="29"/>
        <v>#N/A</v>
      </c>
      <c r="AR369" t="e">
        <f t="shared" ca="1" si="29"/>
        <v>#N/A</v>
      </c>
      <c r="AS369" t="e">
        <f t="shared" ca="1" si="29"/>
        <v>#N/A</v>
      </c>
      <c r="AT369" t="e">
        <f t="shared" ca="1" si="29"/>
        <v>#N/A</v>
      </c>
      <c r="AU369" t="e">
        <f t="shared" ref="AU369:BD378" ca="1" si="30">IF(AU$1&lt;$DD369,AU$358,0)</f>
        <v>#N/A</v>
      </c>
      <c r="AV369" t="e">
        <f t="shared" ca="1" si="30"/>
        <v>#N/A</v>
      </c>
      <c r="AW369" t="e">
        <f t="shared" ca="1" si="30"/>
        <v>#N/A</v>
      </c>
      <c r="AX369" t="e">
        <f t="shared" ca="1" si="30"/>
        <v>#N/A</v>
      </c>
      <c r="AY369" t="e">
        <f t="shared" ca="1" si="30"/>
        <v>#N/A</v>
      </c>
      <c r="AZ369" t="e">
        <f t="shared" ca="1" si="30"/>
        <v>#N/A</v>
      </c>
      <c r="BA369" t="e">
        <f t="shared" ca="1" si="30"/>
        <v>#N/A</v>
      </c>
      <c r="BB369" t="e">
        <f t="shared" ca="1" si="30"/>
        <v>#N/A</v>
      </c>
      <c r="BC369" t="e">
        <f t="shared" ca="1" si="30"/>
        <v>#N/A</v>
      </c>
      <c r="BD369" t="e">
        <f t="shared" ca="1" si="30"/>
        <v>#N/A</v>
      </c>
      <c r="BE369" t="e">
        <f t="shared" ref="BE369:BN378" ca="1" si="31">IF(BE$1&lt;$DD369,BE$358,0)</f>
        <v>#N/A</v>
      </c>
      <c r="BF369" t="e">
        <f t="shared" ca="1" si="31"/>
        <v>#N/A</v>
      </c>
      <c r="BG369" t="e">
        <f t="shared" ca="1" si="31"/>
        <v>#N/A</v>
      </c>
      <c r="BH369" t="e">
        <f t="shared" ca="1" si="31"/>
        <v>#N/A</v>
      </c>
      <c r="BI369" t="e">
        <f t="shared" ca="1" si="31"/>
        <v>#N/A</v>
      </c>
      <c r="BJ369" t="e">
        <f t="shared" ca="1" si="31"/>
        <v>#N/A</v>
      </c>
      <c r="BK369" t="e">
        <f t="shared" ca="1" si="31"/>
        <v>#N/A</v>
      </c>
      <c r="BL369" t="e">
        <f t="shared" ca="1" si="31"/>
        <v>#N/A</v>
      </c>
      <c r="BM369" t="e">
        <f t="shared" ca="1" si="31"/>
        <v>#N/A</v>
      </c>
      <c r="BN369" t="e">
        <f t="shared" ca="1" si="31"/>
        <v>#N/A</v>
      </c>
      <c r="BO369" t="e">
        <f t="shared" ref="BO369:BX378" ca="1" si="32">IF(BO$1&lt;$DD369,BO$358,0)</f>
        <v>#N/A</v>
      </c>
      <c r="BP369">
        <f t="shared" si="32"/>
        <v>0</v>
      </c>
      <c r="BQ369">
        <f t="shared" si="32"/>
        <v>0</v>
      </c>
      <c r="BR369">
        <f t="shared" si="32"/>
        <v>0</v>
      </c>
      <c r="BS369">
        <f t="shared" si="32"/>
        <v>0</v>
      </c>
      <c r="BT369">
        <f t="shared" si="32"/>
        <v>0</v>
      </c>
      <c r="BU369">
        <f t="shared" si="32"/>
        <v>0</v>
      </c>
      <c r="BV369">
        <f t="shared" si="32"/>
        <v>0</v>
      </c>
      <c r="BW369">
        <f t="shared" si="32"/>
        <v>0</v>
      </c>
      <c r="BX369">
        <f t="shared" si="32"/>
        <v>0</v>
      </c>
      <c r="BY369">
        <f t="shared" ref="BY369:CH378" si="33">IF(BY$1&lt;$DD369,BY$358,0)</f>
        <v>0</v>
      </c>
      <c r="BZ369">
        <f t="shared" si="33"/>
        <v>0</v>
      </c>
      <c r="CA369">
        <f t="shared" si="33"/>
        <v>0</v>
      </c>
      <c r="CB369">
        <f t="shared" si="33"/>
        <v>0</v>
      </c>
      <c r="CC369">
        <f t="shared" si="33"/>
        <v>0</v>
      </c>
      <c r="CD369">
        <f t="shared" si="33"/>
        <v>0</v>
      </c>
      <c r="CE369">
        <f t="shared" si="33"/>
        <v>0</v>
      </c>
      <c r="CF369">
        <f t="shared" si="33"/>
        <v>0</v>
      </c>
      <c r="CG369">
        <f t="shared" si="33"/>
        <v>0</v>
      </c>
      <c r="CH369">
        <f t="shared" si="33"/>
        <v>0</v>
      </c>
      <c r="CI369">
        <f t="shared" ref="CI369:CR378" si="34">IF(CI$1&lt;$DD369,CI$358,0)</f>
        <v>0</v>
      </c>
      <c r="CJ369">
        <f t="shared" si="34"/>
        <v>0</v>
      </c>
      <c r="CK369">
        <f t="shared" si="34"/>
        <v>0</v>
      </c>
      <c r="CL369">
        <f t="shared" si="34"/>
        <v>0</v>
      </c>
      <c r="CM369">
        <f t="shared" si="34"/>
        <v>0</v>
      </c>
      <c r="CN369">
        <f t="shared" si="34"/>
        <v>0</v>
      </c>
      <c r="CO369">
        <f t="shared" si="34"/>
        <v>0</v>
      </c>
      <c r="CP369">
        <f t="shared" si="34"/>
        <v>0</v>
      </c>
      <c r="CQ369">
        <f t="shared" si="34"/>
        <v>0</v>
      </c>
      <c r="CR369">
        <f t="shared" si="34"/>
        <v>0</v>
      </c>
      <c r="CS369">
        <f t="shared" ref="CS369:DB378" si="35">IF(CS$1&lt;$DD369,CS$358,0)</f>
        <v>0</v>
      </c>
      <c r="CT369">
        <f t="shared" si="35"/>
        <v>0</v>
      </c>
      <c r="CU369">
        <f t="shared" si="35"/>
        <v>0</v>
      </c>
      <c r="CV369">
        <f t="shared" si="35"/>
        <v>0</v>
      </c>
      <c r="CW369">
        <f t="shared" si="35"/>
        <v>0</v>
      </c>
      <c r="CX369">
        <f t="shared" si="35"/>
        <v>0</v>
      </c>
      <c r="CY369">
        <f t="shared" si="35"/>
        <v>0</v>
      </c>
      <c r="CZ369">
        <f t="shared" si="35"/>
        <v>0</v>
      </c>
      <c r="DA369">
        <f t="shared" si="35"/>
        <v>0</v>
      </c>
      <c r="DB369">
        <f t="shared" si="35"/>
        <v>0</v>
      </c>
      <c r="DD369" s="8">
        <f t="shared" si="22"/>
        <v>11</v>
      </c>
      <c r="DF369" t="e">
        <f t="shared" ca="1" si="23"/>
        <v>#N/A</v>
      </c>
      <c r="DG369" t="e">
        <f t="shared" ca="1" si="24"/>
        <v>#N/A</v>
      </c>
      <c r="DH369" t="e">
        <f ca="1">SUM($DF$360:DF369)/$DG$359</f>
        <v>#N/A</v>
      </c>
      <c r="DI369" t="e">
        <f t="shared" ca="1" si="25"/>
        <v>#N/A</v>
      </c>
      <c r="DK369">
        <v>10</v>
      </c>
      <c r="DP369" s="1"/>
      <c r="DQ369" s="1"/>
      <c r="DR369" s="1"/>
      <c r="DS369" s="1"/>
      <c r="DT369" s="1"/>
      <c r="DU369" s="1"/>
      <c r="DV369" s="1"/>
      <c r="DW369" s="1"/>
      <c r="DX369" s="1"/>
      <c r="DY369" s="1"/>
      <c r="DZ369" s="1"/>
      <c r="EA369" s="1"/>
    </row>
    <row r="370" spans="7:131" x14ac:dyDescent="0.25">
      <c r="G370" t="e">
        <f t="shared" ca="1" si="26"/>
        <v>#N/A</v>
      </c>
      <c r="H370" t="e">
        <f t="shared" ca="1" si="26"/>
        <v>#N/A</v>
      </c>
      <c r="I370" t="e">
        <f t="shared" ca="1" si="26"/>
        <v>#N/A</v>
      </c>
      <c r="J370" t="e">
        <f t="shared" ca="1" si="26"/>
        <v>#N/A</v>
      </c>
      <c r="K370" t="e">
        <f t="shared" ca="1" si="26"/>
        <v>#N/A</v>
      </c>
      <c r="L370" t="e">
        <f t="shared" ca="1" si="26"/>
        <v>#N/A</v>
      </c>
      <c r="M370" t="e">
        <f t="shared" ca="1" si="26"/>
        <v>#N/A</v>
      </c>
      <c r="N370" t="e">
        <f t="shared" ca="1" si="26"/>
        <v>#N/A</v>
      </c>
      <c r="O370" t="e">
        <f t="shared" ca="1" si="26"/>
        <v>#N/A</v>
      </c>
      <c r="P370" t="e">
        <f t="shared" ca="1" si="26"/>
        <v>#N/A</v>
      </c>
      <c r="Q370" t="e">
        <f t="shared" ca="1" si="27"/>
        <v>#N/A</v>
      </c>
      <c r="R370" t="e">
        <f t="shared" ca="1" si="27"/>
        <v>#N/A</v>
      </c>
      <c r="S370" t="e">
        <f t="shared" ca="1" si="27"/>
        <v>#N/A</v>
      </c>
      <c r="T370" t="e">
        <f t="shared" ca="1" si="27"/>
        <v>#N/A</v>
      </c>
      <c r="U370" t="e">
        <f t="shared" ca="1" si="27"/>
        <v>#N/A</v>
      </c>
      <c r="V370" t="e">
        <f t="shared" ca="1" si="27"/>
        <v>#N/A</v>
      </c>
      <c r="W370" t="e">
        <f t="shared" ca="1" si="27"/>
        <v>#N/A</v>
      </c>
      <c r="X370" t="e">
        <f t="shared" ca="1" si="27"/>
        <v>#N/A</v>
      </c>
      <c r="Y370" t="e">
        <f t="shared" ca="1" si="27"/>
        <v>#N/A</v>
      </c>
      <c r="Z370" t="e">
        <f t="shared" ca="1" si="27"/>
        <v>#N/A</v>
      </c>
      <c r="AA370" t="e">
        <f t="shared" ca="1" si="28"/>
        <v>#N/A</v>
      </c>
      <c r="AB370" t="e">
        <f t="shared" ca="1" si="28"/>
        <v>#N/A</v>
      </c>
      <c r="AC370" t="e">
        <f t="shared" ca="1" si="28"/>
        <v>#N/A</v>
      </c>
      <c r="AD370" t="e">
        <f t="shared" ca="1" si="28"/>
        <v>#N/A</v>
      </c>
      <c r="AE370" t="e">
        <f t="shared" ca="1" si="28"/>
        <v>#N/A</v>
      </c>
      <c r="AF370" t="e">
        <f t="shared" ca="1" si="28"/>
        <v>#N/A</v>
      </c>
      <c r="AG370" t="e">
        <f t="shared" ca="1" si="28"/>
        <v>#N/A</v>
      </c>
      <c r="AH370" t="e">
        <f t="shared" ca="1" si="28"/>
        <v>#N/A</v>
      </c>
      <c r="AI370" t="e">
        <f t="shared" ca="1" si="28"/>
        <v>#N/A</v>
      </c>
      <c r="AJ370" t="e">
        <f t="shared" ca="1" si="28"/>
        <v>#N/A</v>
      </c>
      <c r="AK370" t="e">
        <f t="shared" ca="1" si="29"/>
        <v>#N/A</v>
      </c>
      <c r="AL370" t="e">
        <f t="shared" ca="1" si="29"/>
        <v>#N/A</v>
      </c>
      <c r="AM370" t="e">
        <f t="shared" ca="1" si="29"/>
        <v>#N/A</v>
      </c>
      <c r="AN370" t="e">
        <f t="shared" ca="1" si="29"/>
        <v>#N/A</v>
      </c>
      <c r="AO370" t="e">
        <f t="shared" ca="1" si="29"/>
        <v>#N/A</v>
      </c>
      <c r="AP370" t="e">
        <f t="shared" ca="1" si="29"/>
        <v>#N/A</v>
      </c>
      <c r="AQ370" t="e">
        <f t="shared" ca="1" si="29"/>
        <v>#N/A</v>
      </c>
      <c r="AR370" t="e">
        <f t="shared" ca="1" si="29"/>
        <v>#N/A</v>
      </c>
      <c r="AS370" t="e">
        <f t="shared" ca="1" si="29"/>
        <v>#N/A</v>
      </c>
      <c r="AT370" t="e">
        <f t="shared" ca="1" si="29"/>
        <v>#N/A</v>
      </c>
      <c r="AU370" t="e">
        <f t="shared" ca="1" si="30"/>
        <v>#N/A</v>
      </c>
      <c r="AV370" t="e">
        <f t="shared" ca="1" si="30"/>
        <v>#N/A</v>
      </c>
      <c r="AW370" t="e">
        <f t="shared" ca="1" si="30"/>
        <v>#N/A</v>
      </c>
      <c r="AX370" t="e">
        <f t="shared" ca="1" si="30"/>
        <v>#N/A</v>
      </c>
      <c r="AY370" t="e">
        <f t="shared" ca="1" si="30"/>
        <v>#N/A</v>
      </c>
      <c r="AZ370" t="e">
        <f t="shared" ca="1" si="30"/>
        <v>#N/A</v>
      </c>
      <c r="BA370" t="e">
        <f t="shared" ca="1" si="30"/>
        <v>#N/A</v>
      </c>
      <c r="BB370" t="e">
        <f t="shared" ca="1" si="30"/>
        <v>#N/A</v>
      </c>
      <c r="BC370" t="e">
        <f t="shared" ca="1" si="30"/>
        <v>#N/A</v>
      </c>
      <c r="BD370" t="e">
        <f t="shared" ca="1" si="30"/>
        <v>#N/A</v>
      </c>
      <c r="BE370" t="e">
        <f t="shared" ca="1" si="31"/>
        <v>#N/A</v>
      </c>
      <c r="BF370" t="e">
        <f t="shared" ca="1" si="31"/>
        <v>#N/A</v>
      </c>
      <c r="BG370" t="e">
        <f t="shared" ca="1" si="31"/>
        <v>#N/A</v>
      </c>
      <c r="BH370" t="e">
        <f t="shared" ca="1" si="31"/>
        <v>#N/A</v>
      </c>
      <c r="BI370" t="e">
        <f t="shared" ca="1" si="31"/>
        <v>#N/A</v>
      </c>
      <c r="BJ370" t="e">
        <f t="shared" ca="1" si="31"/>
        <v>#N/A</v>
      </c>
      <c r="BK370" t="e">
        <f t="shared" ca="1" si="31"/>
        <v>#N/A</v>
      </c>
      <c r="BL370" t="e">
        <f t="shared" ca="1" si="31"/>
        <v>#N/A</v>
      </c>
      <c r="BM370" t="e">
        <f t="shared" ca="1" si="31"/>
        <v>#N/A</v>
      </c>
      <c r="BN370" t="e">
        <f t="shared" ca="1" si="31"/>
        <v>#N/A</v>
      </c>
      <c r="BO370">
        <f t="shared" si="32"/>
        <v>0</v>
      </c>
      <c r="BP370">
        <f t="shared" si="32"/>
        <v>0</v>
      </c>
      <c r="BQ370">
        <f t="shared" si="32"/>
        <v>0</v>
      </c>
      <c r="BR370">
        <f t="shared" si="32"/>
        <v>0</v>
      </c>
      <c r="BS370">
        <f t="shared" si="32"/>
        <v>0</v>
      </c>
      <c r="BT370">
        <f t="shared" si="32"/>
        <v>0</v>
      </c>
      <c r="BU370">
        <f t="shared" si="32"/>
        <v>0</v>
      </c>
      <c r="BV370">
        <f t="shared" si="32"/>
        <v>0</v>
      </c>
      <c r="BW370">
        <f t="shared" si="32"/>
        <v>0</v>
      </c>
      <c r="BX370">
        <f t="shared" si="32"/>
        <v>0</v>
      </c>
      <c r="BY370">
        <f t="shared" si="33"/>
        <v>0</v>
      </c>
      <c r="BZ370">
        <f t="shared" si="33"/>
        <v>0</v>
      </c>
      <c r="CA370">
        <f t="shared" si="33"/>
        <v>0</v>
      </c>
      <c r="CB370">
        <f t="shared" si="33"/>
        <v>0</v>
      </c>
      <c r="CC370">
        <f t="shared" si="33"/>
        <v>0</v>
      </c>
      <c r="CD370">
        <f t="shared" si="33"/>
        <v>0</v>
      </c>
      <c r="CE370">
        <f t="shared" si="33"/>
        <v>0</v>
      </c>
      <c r="CF370">
        <f t="shared" si="33"/>
        <v>0</v>
      </c>
      <c r="CG370">
        <f t="shared" si="33"/>
        <v>0</v>
      </c>
      <c r="CH370">
        <f t="shared" si="33"/>
        <v>0</v>
      </c>
      <c r="CI370">
        <f t="shared" si="34"/>
        <v>0</v>
      </c>
      <c r="CJ370">
        <f t="shared" si="34"/>
        <v>0</v>
      </c>
      <c r="CK370">
        <f t="shared" si="34"/>
        <v>0</v>
      </c>
      <c r="CL370">
        <f t="shared" si="34"/>
        <v>0</v>
      </c>
      <c r="CM370">
        <f t="shared" si="34"/>
        <v>0</v>
      </c>
      <c r="CN370">
        <f t="shared" si="34"/>
        <v>0</v>
      </c>
      <c r="CO370">
        <f t="shared" si="34"/>
        <v>0</v>
      </c>
      <c r="CP370">
        <f t="shared" si="34"/>
        <v>0</v>
      </c>
      <c r="CQ370">
        <f t="shared" si="34"/>
        <v>0</v>
      </c>
      <c r="CR370">
        <f t="shared" si="34"/>
        <v>0</v>
      </c>
      <c r="CS370">
        <f t="shared" si="35"/>
        <v>0</v>
      </c>
      <c r="CT370">
        <f t="shared" si="35"/>
        <v>0</v>
      </c>
      <c r="CU370">
        <f t="shared" si="35"/>
        <v>0</v>
      </c>
      <c r="CV370">
        <f t="shared" si="35"/>
        <v>0</v>
      </c>
      <c r="CW370">
        <f t="shared" si="35"/>
        <v>0</v>
      </c>
      <c r="CX370">
        <f t="shared" si="35"/>
        <v>0</v>
      </c>
      <c r="CY370">
        <f t="shared" si="35"/>
        <v>0</v>
      </c>
      <c r="CZ370">
        <f t="shared" si="35"/>
        <v>0</v>
      </c>
      <c r="DA370">
        <f t="shared" si="35"/>
        <v>0</v>
      </c>
      <c r="DB370">
        <f t="shared" si="35"/>
        <v>0</v>
      </c>
      <c r="DD370" s="8">
        <f t="shared" si="22"/>
        <v>10</v>
      </c>
      <c r="DF370" t="e">
        <f t="shared" ca="1" si="23"/>
        <v>#N/A</v>
      </c>
      <c r="DG370" t="e">
        <f t="shared" ca="1" si="24"/>
        <v>#N/A</v>
      </c>
      <c r="DH370" t="e">
        <f ca="1">SUM($DF$360:DF370)/$DG$359</f>
        <v>#N/A</v>
      </c>
      <c r="DI370" t="e">
        <f t="shared" ca="1" si="25"/>
        <v>#N/A</v>
      </c>
      <c r="DK370">
        <v>11</v>
      </c>
      <c r="DP370" s="1"/>
      <c r="DQ370" s="1"/>
      <c r="DR370" s="1"/>
      <c r="DS370" s="1"/>
      <c r="DT370" s="1"/>
      <c r="DU370" s="1"/>
      <c r="DV370" s="1"/>
      <c r="DW370" s="1"/>
      <c r="DX370" s="1"/>
      <c r="DY370" s="1"/>
      <c r="DZ370" s="1"/>
      <c r="EA370" s="1"/>
    </row>
    <row r="371" spans="7:131" x14ac:dyDescent="0.25">
      <c r="G371" t="e">
        <f t="shared" ca="1" si="26"/>
        <v>#N/A</v>
      </c>
      <c r="H371" t="e">
        <f t="shared" ca="1" si="26"/>
        <v>#N/A</v>
      </c>
      <c r="I371" t="e">
        <f t="shared" ca="1" si="26"/>
        <v>#N/A</v>
      </c>
      <c r="J371" t="e">
        <f t="shared" ca="1" si="26"/>
        <v>#N/A</v>
      </c>
      <c r="K371" t="e">
        <f t="shared" ca="1" si="26"/>
        <v>#N/A</v>
      </c>
      <c r="L371" t="e">
        <f t="shared" ca="1" si="26"/>
        <v>#N/A</v>
      </c>
      <c r="M371" t="e">
        <f t="shared" ca="1" si="26"/>
        <v>#N/A</v>
      </c>
      <c r="N371" t="e">
        <f t="shared" ca="1" si="26"/>
        <v>#N/A</v>
      </c>
      <c r="O371" t="e">
        <f t="shared" ca="1" si="26"/>
        <v>#N/A</v>
      </c>
      <c r="P371" t="e">
        <f t="shared" ca="1" si="26"/>
        <v>#N/A</v>
      </c>
      <c r="Q371" t="e">
        <f t="shared" ca="1" si="27"/>
        <v>#N/A</v>
      </c>
      <c r="R371" t="e">
        <f t="shared" ca="1" si="27"/>
        <v>#N/A</v>
      </c>
      <c r="S371" t="e">
        <f t="shared" ca="1" si="27"/>
        <v>#N/A</v>
      </c>
      <c r="T371" t="e">
        <f t="shared" ca="1" si="27"/>
        <v>#N/A</v>
      </c>
      <c r="U371" t="e">
        <f t="shared" ca="1" si="27"/>
        <v>#N/A</v>
      </c>
      <c r="V371" t="e">
        <f t="shared" ca="1" si="27"/>
        <v>#N/A</v>
      </c>
      <c r="W371" t="e">
        <f t="shared" ca="1" si="27"/>
        <v>#N/A</v>
      </c>
      <c r="X371" t="e">
        <f t="shared" ca="1" si="27"/>
        <v>#N/A</v>
      </c>
      <c r="Y371" t="e">
        <f t="shared" ca="1" si="27"/>
        <v>#N/A</v>
      </c>
      <c r="Z371" t="e">
        <f t="shared" ca="1" si="27"/>
        <v>#N/A</v>
      </c>
      <c r="AA371" t="e">
        <f t="shared" ca="1" si="28"/>
        <v>#N/A</v>
      </c>
      <c r="AB371" t="e">
        <f t="shared" ca="1" si="28"/>
        <v>#N/A</v>
      </c>
      <c r="AC371" t="e">
        <f t="shared" ca="1" si="28"/>
        <v>#N/A</v>
      </c>
      <c r="AD371" t="e">
        <f t="shared" ca="1" si="28"/>
        <v>#N/A</v>
      </c>
      <c r="AE371" t="e">
        <f t="shared" ca="1" si="28"/>
        <v>#N/A</v>
      </c>
      <c r="AF371" t="e">
        <f t="shared" ca="1" si="28"/>
        <v>#N/A</v>
      </c>
      <c r="AG371" t="e">
        <f t="shared" ca="1" si="28"/>
        <v>#N/A</v>
      </c>
      <c r="AH371" t="e">
        <f t="shared" ca="1" si="28"/>
        <v>#N/A</v>
      </c>
      <c r="AI371" t="e">
        <f t="shared" ca="1" si="28"/>
        <v>#N/A</v>
      </c>
      <c r="AJ371" t="e">
        <f t="shared" ca="1" si="28"/>
        <v>#N/A</v>
      </c>
      <c r="AK371" t="e">
        <f t="shared" ca="1" si="29"/>
        <v>#N/A</v>
      </c>
      <c r="AL371" t="e">
        <f t="shared" ca="1" si="29"/>
        <v>#N/A</v>
      </c>
      <c r="AM371" t="e">
        <f t="shared" ca="1" si="29"/>
        <v>#N/A</v>
      </c>
      <c r="AN371" t="e">
        <f t="shared" ca="1" si="29"/>
        <v>#N/A</v>
      </c>
      <c r="AO371" t="e">
        <f t="shared" ca="1" si="29"/>
        <v>#N/A</v>
      </c>
      <c r="AP371" t="e">
        <f t="shared" ca="1" si="29"/>
        <v>#N/A</v>
      </c>
      <c r="AQ371" t="e">
        <f t="shared" ca="1" si="29"/>
        <v>#N/A</v>
      </c>
      <c r="AR371" t="e">
        <f t="shared" ca="1" si="29"/>
        <v>#N/A</v>
      </c>
      <c r="AS371" t="e">
        <f t="shared" ca="1" si="29"/>
        <v>#N/A</v>
      </c>
      <c r="AT371" t="e">
        <f t="shared" ca="1" si="29"/>
        <v>#N/A</v>
      </c>
      <c r="AU371" t="e">
        <f t="shared" ca="1" si="30"/>
        <v>#N/A</v>
      </c>
      <c r="AV371" t="e">
        <f t="shared" ca="1" si="30"/>
        <v>#N/A</v>
      </c>
      <c r="AW371" t="e">
        <f t="shared" ca="1" si="30"/>
        <v>#N/A</v>
      </c>
      <c r="AX371" t="e">
        <f t="shared" ca="1" si="30"/>
        <v>#N/A</v>
      </c>
      <c r="AY371" t="e">
        <f t="shared" ca="1" si="30"/>
        <v>#N/A</v>
      </c>
      <c r="AZ371" t="e">
        <f t="shared" ca="1" si="30"/>
        <v>#N/A</v>
      </c>
      <c r="BA371" t="e">
        <f t="shared" ca="1" si="30"/>
        <v>#N/A</v>
      </c>
      <c r="BB371" t="e">
        <f t="shared" ca="1" si="30"/>
        <v>#N/A</v>
      </c>
      <c r="BC371" t="e">
        <f t="shared" ca="1" si="30"/>
        <v>#N/A</v>
      </c>
      <c r="BD371" t="e">
        <f t="shared" ca="1" si="30"/>
        <v>#N/A</v>
      </c>
      <c r="BE371" t="e">
        <f t="shared" ca="1" si="31"/>
        <v>#N/A</v>
      </c>
      <c r="BF371" t="e">
        <f t="shared" ca="1" si="31"/>
        <v>#N/A</v>
      </c>
      <c r="BG371" t="e">
        <f t="shared" ca="1" si="31"/>
        <v>#N/A</v>
      </c>
      <c r="BH371" t="e">
        <f t="shared" ca="1" si="31"/>
        <v>#N/A</v>
      </c>
      <c r="BI371" t="e">
        <f t="shared" ca="1" si="31"/>
        <v>#N/A</v>
      </c>
      <c r="BJ371" t="e">
        <f t="shared" ca="1" si="31"/>
        <v>#N/A</v>
      </c>
      <c r="BK371" t="e">
        <f t="shared" ca="1" si="31"/>
        <v>#N/A</v>
      </c>
      <c r="BL371" t="e">
        <f t="shared" ca="1" si="31"/>
        <v>#N/A</v>
      </c>
      <c r="BM371" t="e">
        <f t="shared" ca="1" si="31"/>
        <v>#N/A</v>
      </c>
      <c r="BN371">
        <f t="shared" si="31"/>
        <v>0</v>
      </c>
      <c r="BO371">
        <f t="shared" si="32"/>
        <v>0</v>
      </c>
      <c r="BP371">
        <f t="shared" si="32"/>
        <v>0</v>
      </c>
      <c r="BQ371">
        <f t="shared" si="32"/>
        <v>0</v>
      </c>
      <c r="BR371">
        <f t="shared" si="32"/>
        <v>0</v>
      </c>
      <c r="BS371">
        <f t="shared" si="32"/>
        <v>0</v>
      </c>
      <c r="BT371">
        <f t="shared" si="32"/>
        <v>0</v>
      </c>
      <c r="BU371">
        <f t="shared" si="32"/>
        <v>0</v>
      </c>
      <c r="BV371">
        <f t="shared" si="32"/>
        <v>0</v>
      </c>
      <c r="BW371">
        <f t="shared" si="32"/>
        <v>0</v>
      </c>
      <c r="BX371">
        <f t="shared" si="32"/>
        <v>0</v>
      </c>
      <c r="BY371">
        <f t="shared" si="33"/>
        <v>0</v>
      </c>
      <c r="BZ371">
        <f t="shared" si="33"/>
        <v>0</v>
      </c>
      <c r="CA371">
        <f t="shared" si="33"/>
        <v>0</v>
      </c>
      <c r="CB371">
        <f t="shared" si="33"/>
        <v>0</v>
      </c>
      <c r="CC371">
        <f t="shared" si="33"/>
        <v>0</v>
      </c>
      <c r="CD371">
        <f t="shared" si="33"/>
        <v>0</v>
      </c>
      <c r="CE371">
        <f t="shared" si="33"/>
        <v>0</v>
      </c>
      <c r="CF371">
        <f t="shared" si="33"/>
        <v>0</v>
      </c>
      <c r="CG371">
        <f t="shared" si="33"/>
        <v>0</v>
      </c>
      <c r="CH371">
        <f t="shared" si="33"/>
        <v>0</v>
      </c>
      <c r="CI371">
        <f t="shared" si="34"/>
        <v>0</v>
      </c>
      <c r="CJ371">
        <f t="shared" si="34"/>
        <v>0</v>
      </c>
      <c r="CK371">
        <f t="shared" si="34"/>
        <v>0</v>
      </c>
      <c r="CL371">
        <f t="shared" si="34"/>
        <v>0</v>
      </c>
      <c r="CM371">
        <f t="shared" si="34"/>
        <v>0</v>
      </c>
      <c r="CN371">
        <f t="shared" si="34"/>
        <v>0</v>
      </c>
      <c r="CO371">
        <f t="shared" si="34"/>
        <v>0</v>
      </c>
      <c r="CP371">
        <f t="shared" si="34"/>
        <v>0</v>
      </c>
      <c r="CQ371">
        <f t="shared" si="34"/>
        <v>0</v>
      </c>
      <c r="CR371">
        <f t="shared" si="34"/>
        <v>0</v>
      </c>
      <c r="CS371">
        <f t="shared" si="35"/>
        <v>0</v>
      </c>
      <c r="CT371">
        <f t="shared" si="35"/>
        <v>0</v>
      </c>
      <c r="CU371">
        <f t="shared" si="35"/>
        <v>0</v>
      </c>
      <c r="CV371">
        <f t="shared" si="35"/>
        <v>0</v>
      </c>
      <c r="CW371">
        <f t="shared" si="35"/>
        <v>0</v>
      </c>
      <c r="CX371">
        <f t="shared" si="35"/>
        <v>0</v>
      </c>
      <c r="CY371">
        <f t="shared" si="35"/>
        <v>0</v>
      </c>
      <c r="CZ371">
        <f t="shared" si="35"/>
        <v>0</v>
      </c>
      <c r="DA371">
        <f t="shared" si="35"/>
        <v>0</v>
      </c>
      <c r="DB371">
        <f t="shared" si="35"/>
        <v>0</v>
      </c>
      <c r="DD371" s="8">
        <f t="shared" si="22"/>
        <v>9</v>
      </c>
      <c r="DF371" t="e">
        <f t="shared" ca="1" si="23"/>
        <v>#N/A</v>
      </c>
      <c r="DG371" t="e">
        <f t="shared" ca="1" si="24"/>
        <v>#N/A</v>
      </c>
      <c r="DH371" t="e">
        <f ca="1">SUM($DF$360:DF371)/$DG$359</f>
        <v>#N/A</v>
      </c>
      <c r="DI371" t="e">
        <f t="shared" ca="1" si="25"/>
        <v>#N/A</v>
      </c>
      <c r="DK371">
        <v>12</v>
      </c>
      <c r="DP371" s="1"/>
      <c r="DQ371" s="1"/>
      <c r="DR371" s="1"/>
      <c r="DS371" s="1"/>
      <c r="DT371" s="1"/>
      <c r="DU371" s="1"/>
      <c r="DV371" s="1"/>
      <c r="DW371" s="1"/>
      <c r="DX371" s="1"/>
      <c r="DY371" s="1"/>
      <c r="DZ371" s="1"/>
      <c r="EA371" s="1"/>
    </row>
    <row r="372" spans="7:131" x14ac:dyDescent="0.25">
      <c r="G372" t="e">
        <f t="shared" ca="1" si="26"/>
        <v>#N/A</v>
      </c>
      <c r="H372" t="e">
        <f t="shared" ca="1" si="26"/>
        <v>#N/A</v>
      </c>
      <c r="I372" t="e">
        <f t="shared" ca="1" si="26"/>
        <v>#N/A</v>
      </c>
      <c r="J372" t="e">
        <f t="shared" ca="1" si="26"/>
        <v>#N/A</v>
      </c>
      <c r="K372" t="e">
        <f t="shared" ca="1" si="26"/>
        <v>#N/A</v>
      </c>
      <c r="L372" t="e">
        <f t="shared" ca="1" si="26"/>
        <v>#N/A</v>
      </c>
      <c r="M372" t="e">
        <f t="shared" ca="1" si="26"/>
        <v>#N/A</v>
      </c>
      <c r="N372" t="e">
        <f t="shared" ca="1" si="26"/>
        <v>#N/A</v>
      </c>
      <c r="O372" t="e">
        <f t="shared" ca="1" si="26"/>
        <v>#N/A</v>
      </c>
      <c r="P372" t="e">
        <f t="shared" ca="1" si="26"/>
        <v>#N/A</v>
      </c>
      <c r="Q372" t="e">
        <f t="shared" ca="1" si="27"/>
        <v>#N/A</v>
      </c>
      <c r="R372" t="e">
        <f t="shared" ca="1" si="27"/>
        <v>#N/A</v>
      </c>
      <c r="S372" t="e">
        <f t="shared" ca="1" si="27"/>
        <v>#N/A</v>
      </c>
      <c r="T372" t="e">
        <f t="shared" ca="1" si="27"/>
        <v>#N/A</v>
      </c>
      <c r="U372" t="e">
        <f t="shared" ca="1" si="27"/>
        <v>#N/A</v>
      </c>
      <c r="V372" t="e">
        <f t="shared" ca="1" si="27"/>
        <v>#N/A</v>
      </c>
      <c r="W372" t="e">
        <f t="shared" ca="1" si="27"/>
        <v>#N/A</v>
      </c>
      <c r="X372" t="e">
        <f t="shared" ca="1" si="27"/>
        <v>#N/A</v>
      </c>
      <c r="Y372" t="e">
        <f t="shared" ca="1" si="27"/>
        <v>#N/A</v>
      </c>
      <c r="Z372" t="e">
        <f t="shared" ca="1" si="27"/>
        <v>#N/A</v>
      </c>
      <c r="AA372" t="e">
        <f t="shared" ca="1" si="28"/>
        <v>#N/A</v>
      </c>
      <c r="AB372" t="e">
        <f t="shared" ca="1" si="28"/>
        <v>#N/A</v>
      </c>
      <c r="AC372" t="e">
        <f t="shared" ca="1" si="28"/>
        <v>#N/A</v>
      </c>
      <c r="AD372" t="e">
        <f t="shared" ca="1" si="28"/>
        <v>#N/A</v>
      </c>
      <c r="AE372" t="e">
        <f t="shared" ca="1" si="28"/>
        <v>#N/A</v>
      </c>
      <c r="AF372" t="e">
        <f t="shared" ca="1" si="28"/>
        <v>#N/A</v>
      </c>
      <c r="AG372" t="e">
        <f t="shared" ca="1" si="28"/>
        <v>#N/A</v>
      </c>
      <c r="AH372" t="e">
        <f t="shared" ca="1" si="28"/>
        <v>#N/A</v>
      </c>
      <c r="AI372" t="e">
        <f t="shared" ca="1" si="28"/>
        <v>#N/A</v>
      </c>
      <c r="AJ372" t="e">
        <f t="shared" ca="1" si="28"/>
        <v>#N/A</v>
      </c>
      <c r="AK372" t="e">
        <f t="shared" ca="1" si="29"/>
        <v>#N/A</v>
      </c>
      <c r="AL372" t="e">
        <f t="shared" ca="1" si="29"/>
        <v>#N/A</v>
      </c>
      <c r="AM372" t="e">
        <f t="shared" ca="1" si="29"/>
        <v>#N/A</v>
      </c>
      <c r="AN372" t="e">
        <f t="shared" ca="1" si="29"/>
        <v>#N/A</v>
      </c>
      <c r="AO372" t="e">
        <f t="shared" ca="1" si="29"/>
        <v>#N/A</v>
      </c>
      <c r="AP372" t="e">
        <f t="shared" ca="1" si="29"/>
        <v>#N/A</v>
      </c>
      <c r="AQ372" t="e">
        <f t="shared" ca="1" si="29"/>
        <v>#N/A</v>
      </c>
      <c r="AR372" t="e">
        <f t="shared" ca="1" si="29"/>
        <v>#N/A</v>
      </c>
      <c r="AS372" t="e">
        <f t="shared" ca="1" si="29"/>
        <v>#N/A</v>
      </c>
      <c r="AT372" t="e">
        <f t="shared" ca="1" si="29"/>
        <v>#N/A</v>
      </c>
      <c r="AU372" t="e">
        <f t="shared" ca="1" si="30"/>
        <v>#N/A</v>
      </c>
      <c r="AV372" t="e">
        <f t="shared" ca="1" si="30"/>
        <v>#N/A</v>
      </c>
      <c r="AW372" t="e">
        <f t="shared" ca="1" si="30"/>
        <v>#N/A</v>
      </c>
      <c r="AX372" t="e">
        <f t="shared" ca="1" si="30"/>
        <v>#N/A</v>
      </c>
      <c r="AY372" t="e">
        <f t="shared" ca="1" si="30"/>
        <v>#N/A</v>
      </c>
      <c r="AZ372" t="e">
        <f t="shared" ca="1" si="30"/>
        <v>#N/A</v>
      </c>
      <c r="BA372" t="e">
        <f t="shared" ca="1" si="30"/>
        <v>#N/A</v>
      </c>
      <c r="BB372" t="e">
        <f t="shared" ca="1" si="30"/>
        <v>#N/A</v>
      </c>
      <c r="BC372" t="e">
        <f t="shared" ca="1" si="30"/>
        <v>#N/A</v>
      </c>
      <c r="BD372" t="e">
        <f t="shared" ca="1" si="30"/>
        <v>#N/A</v>
      </c>
      <c r="BE372" t="e">
        <f t="shared" ca="1" si="31"/>
        <v>#N/A</v>
      </c>
      <c r="BF372" t="e">
        <f t="shared" ca="1" si="31"/>
        <v>#N/A</v>
      </c>
      <c r="BG372" t="e">
        <f t="shared" ca="1" si="31"/>
        <v>#N/A</v>
      </c>
      <c r="BH372" t="e">
        <f t="shared" ca="1" si="31"/>
        <v>#N/A</v>
      </c>
      <c r="BI372" t="e">
        <f t="shared" ca="1" si="31"/>
        <v>#N/A</v>
      </c>
      <c r="BJ372" t="e">
        <f t="shared" ca="1" si="31"/>
        <v>#N/A</v>
      </c>
      <c r="BK372" t="e">
        <f t="shared" ca="1" si="31"/>
        <v>#N/A</v>
      </c>
      <c r="BL372" t="e">
        <f t="shared" ca="1" si="31"/>
        <v>#N/A</v>
      </c>
      <c r="BM372">
        <f t="shared" si="31"/>
        <v>0</v>
      </c>
      <c r="BN372">
        <f t="shared" si="31"/>
        <v>0</v>
      </c>
      <c r="BO372">
        <f t="shared" si="32"/>
        <v>0</v>
      </c>
      <c r="BP372">
        <f t="shared" si="32"/>
        <v>0</v>
      </c>
      <c r="BQ372">
        <f t="shared" si="32"/>
        <v>0</v>
      </c>
      <c r="BR372">
        <f t="shared" si="32"/>
        <v>0</v>
      </c>
      <c r="BS372">
        <f t="shared" si="32"/>
        <v>0</v>
      </c>
      <c r="BT372">
        <f t="shared" si="32"/>
        <v>0</v>
      </c>
      <c r="BU372">
        <f t="shared" si="32"/>
        <v>0</v>
      </c>
      <c r="BV372">
        <f t="shared" si="32"/>
        <v>0</v>
      </c>
      <c r="BW372">
        <f t="shared" si="32"/>
        <v>0</v>
      </c>
      <c r="BX372">
        <f t="shared" si="32"/>
        <v>0</v>
      </c>
      <c r="BY372">
        <f t="shared" si="33"/>
        <v>0</v>
      </c>
      <c r="BZ372">
        <f t="shared" si="33"/>
        <v>0</v>
      </c>
      <c r="CA372">
        <f t="shared" si="33"/>
        <v>0</v>
      </c>
      <c r="CB372">
        <f t="shared" si="33"/>
        <v>0</v>
      </c>
      <c r="CC372">
        <f t="shared" si="33"/>
        <v>0</v>
      </c>
      <c r="CD372">
        <f t="shared" si="33"/>
        <v>0</v>
      </c>
      <c r="CE372">
        <f t="shared" si="33"/>
        <v>0</v>
      </c>
      <c r="CF372">
        <f t="shared" si="33"/>
        <v>0</v>
      </c>
      <c r="CG372">
        <f t="shared" si="33"/>
        <v>0</v>
      </c>
      <c r="CH372">
        <f t="shared" si="33"/>
        <v>0</v>
      </c>
      <c r="CI372">
        <f t="shared" si="34"/>
        <v>0</v>
      </c>
      <c r="CJ372">
        <f t="shared" si="34"/>
        <v>0</v>
      </c>
      <c r="CK372">
        <f t="shared" si="34"/>
        <v>0</v>
      </c>
      <c r="CL372">
        <f t="shared" si="34"/>
        <v>0</v>
      </c>
      <c r="CM372">
        <f t="shared" si="34"/>
        <v>0</v>
      </c>
      <c r="CN372">
        <f t="shared" si="34"/>
        <v>0</v>
      </c>
      <c r="CO372">
        <f t="shared" si="34"/>
        <v>0</v>
      </c>
      <c r="CP372">
        <f t="shared" si="34"/>
        <v>0</v>
      </c>
      <c r="CQ372">
        <f t="shared" si="34"/>
        <v>0</v>
      </c>
      <c r="CR372">
        <f t="shared" si="34"/>
        <v>0</v>
      </c>
      <c r="CS372">
        <f t="shared" si="35"/>
        <v>0</v>
      </c>
      <c r="CT372">
        <f t="shared" si="35"/>
        <v>0</v>
      </c>
      <c r="CU372">
        <f t="shared" si="35"/>
        <v>0</v>
      </c>
      <c r="CV372">
        <f t="shared" si="35"/>
        <v>0</v>
      </c>
      <c r="CW372">
        <f t="shared" si="35"/>
        <v>0</v>
      </c>
      <c r="CX372">
        <f t="shared" si="35"/>
        <v>0</v>
      </c>
      <c r="CY372">
        <f t="shared" si="35"/>
        <v>0</v>
      </c>
      <c r="CZ372">
        <f t="shared" si="35"/>
        <v>0</v>
      </c>
      <c r="DA372">
        <f t="shared" si="35"/>
        <v>0</v>
      </c>
      <c r="DB372">
        <f t="shared" si="35"/>
        <v>0</v>
      </c>
      <c r="DD372" s="8">
        <f t="shared" si="22"/>
        <v>8</v>
      </c>
      <c r="DF372" t="e">
        <f t="shared" ca="1" si="23"/>
        <v>#N/A</v>
      </c>
      <c r="DG372" t="e">
        <f t="shared" ca="1" si="24"/>
        <v>#N/A</v>
      </c>
      <c r="DH372" t="e">
        <f ca="1">SUM($DF$360:DF372)/$DG$359</f>
        <v>#N/A</v>
      </c>
      <c r="DI372" t="e">
        <f t="shared" ca="1" si="25"/>
        <v>#N/A</v>
      </c>
      <c r="DK372">
        <v>13</v>
      </c>
      <c r="DP372" s="1"/>
      <c r="DQ372" s="1"/>
      <c r="DR372" s="1"/>
      <c r="DS372" s="1"/>
      <c r="DT372" s="1"/>
      <c r="DU372" s="1"/>
      <c r="DV372" s="1"/>
      <c r="DW372" s="1"/>
      <c r="DX372" s="1"/>
      <c r="DY372" s="1"/>
      <c r="DZ372" s="1"/>
      <c r="EA372" s="1"/>
    </row>
    <row r="373" spans="7:131" x14ac:dyDescent="0.25">
      <c r="G373" t="e">
        <f t="shared" ca="1" si="26"/>
        <v>#N/A</v>
      </c>
      <c r="H373" t="e">
        <f t="shared" ca="1" si="26"/>
        <v>#N/A</v>
      </c>
      <c r="I373" t="e">
        <f t="shared" ca="1" si="26"/>
        <v>#N/A</v>
      </c>
      <c r="J373" t="e">
        <f t="shared" ca="1" si="26"/>
        <v>#N/A</v>
      </c>
      <c r="K373" t="e">
        <f t="shared" ca="1" si="26"/>
        <v>#N/A</v>
      </c>
      <c r="L373" t="e">
        <f t="shared" ca="1" si="26"/>
        <v>#N/A</v>
      </c>
      <c r="M373" t="e">
        <f t="shared" ca="1" si="26"/>
        <v>#N/A</v>
      </c>
      <c r="N373" t="e">
        <f t="shared" ca="1" si="26"/>
        <v>#N/A</v>
      </c>
      <c r="O373" t="e">
        <f t="shared" ca="1" si="26"/>
        <v>#N/A</v>
      </c>
      <c r="P373" t="e">
        <f t="shared" ca="1" si="26"/>
        <v>#N/A</v>
      </c>
      <c r="Q373" t="e">
        <f t="shared" ca="1" si="27"/>
        <v>#N/A</v>
      </c>
      <c r="R373" t="e">
        <f t="shared" ca="1" si="27"/>
        <v>#N/A</v>
      </c>
      <c r="S373" t="e">
        <f t="shared" ca="1" si="27"/>
        <v>#N/A</v>
      </c>
      <c r="T373" t="e">
        <f t="shared" ca="1" si="27"/>
        <v>#N/A</v>
      </c>
      <c r="U373" t="e">
        <f t="shared" ca="1" si="27"/>
        <v>#N/A</v>
      </c>
      <c r="V373" t="e">
        <f t="shared" ca="1" si="27"/>
        <v>#N/A</v>
      </c>
      <c r="W373" t="e">
        <f t="shared" ca="1" si="27"/>
        <v>#N/A</v>
      </c>
      <c r="X373" t="e">
        <f t="shared" ca="1" si="27"/>
        <v>#N/A</v>
      </c>
      <c r="Y373" t="e">
        <f t="shared" ca="1" si="27"/>
        <v>#N/A</v>
      </c>
      <c r="Z373" t="e">
        <f t="shared" ca="1" si="27"/>
        <v>#N/A</v>
      </c>
      <c r="AA373" t="e">
        <f t="shared" ca="1" si="28"/>
        <v>#N/A</v>
      </c>
      <c r="AB373" t="e">
        <f t="shared" ca="1" si="28"/>
        <v>#N/A</v>
      </c>
      <c r="AC373" t="e">
        <f t="shared" ca="1" si="28"/>
        <v>#N/A</v>
      </c>
      <c r="AD373" t="e">
        <f t="shared" ca="1" si="28"/>
        <v>#N/A</v>
      </c>
      <c r="AE373" t="e">
        <f t="shared" ca="1" si="28"/>
        <v>#N/A</v>
      </c>
      <c r="AF373" t="e">
        <f t="shared" ca="1" si="28"/>
        <v>#N/A</v>
      </c>
      <c r="AG373" t="e">
        <f t="shared" ca="1" si="28"/>
        <v>#N/A</v>
      </c>
      <c r="AH373" t="e">
        <f t="shared" ca="1" si="28"/>
        <v>#N/A</v>
      </c>
      <c r="AI373" t="e">
        <f t="shared" ca="1" si="28"/>
        <v>#N/A</v>
      </c>
      <c r="AJ373" t="e">
        <f t="shared" ca="1" si="28"/>
        <v>#N/A</v>
      </c>
      <c r="AK373" t="e">
        <f t="shared" ca="1" si="29"/>
        <v>#N/A</v>
      </c>
      <c r="AL373" t="e">
        <f t="shared" ca="1" si="29"/>
        <v>#N/A</v>
      </c>
      <c r="AM373" t="e">
        <f t="shared" ca="1" si="29"/>
        <v>#N/A</v>
      </c>
      <c r="AN373" t="e">
        <f t="shared" ca="1" si="29"/>
        <v>#N/A</v>
      </c>
      <c r="AO373" t="e">
        <f t="shared" ca="1" si="29"/>
        <v>#N/A</v>
      </c>
      <c r="AP373" t="e">
        <f t="shared" ca="1" si="29"/>
        <v>#N/A</v>
      </c>
      <c r="AQ373" t="e">
        <f t="shared" ca="1" si="29"/>
        <v>#N/A</v>
      </c>
      <c r="AR373" t="e">
        <f t="shared" ca="1" si="29"/>
        <v>#N/A</v>
      </c>
      <c r="AS373" t="e">
        <f t="shared" ca="1" si="29"/>
        <v>#N/A</v>
      </c>
      <c r="AT373" t="e">
        <f t="shared" ca="1" si="29"/>
        <v>#N/A</v>
      </c>
      <c r="AU373" t="e">
        <f t="shared" ca="1" si="30"/>
        <v>#N/A</v>
      </c>
      <c r="AV373" t="e">
        <f t="shared" ca="1" si="30"/>
        <v>#N/A</v>
      </c>
      <c r="AW373" t="e">
        <f t="shared" ca="1" si="30"/>
        <v>#N/A</v>
      </c>
      <c r="AX373" t="e">
        <f t="shared" ca="1" si="30"/>
        <v>#N/A</v>
      </c>
      <c r="AY373" t="e">
        <f t="shared" ca="1" si="30"/>
        <v>#N/A</v>
      </c>
      <c r="AZ373" t="e">
        <f t="shared" ca="1" si="30"/>
        <v>#N/A</v>
      </c>
      <c r="BA373" t="e">
        <f t="shared" ca="1" si="30"/>
        <v>#N/A</v>
      </c>
      <c r="BB373" t="e">
        <f t="shared" ca="1" si="30"/>
        <v>#N/A</v>
      </c>
      <c r="BC373" t="e">
        <f t="shared" ca="1" si="30"/>
        <v>#N/A</v>
      </c>
      <c r="BD373" t="e">
        <f t="shared" ca="1" si="30"/>
        <v>#N/A</v>
      </c>
      <c r="BE373" t="e">
        <f t="shared" ca="1" si="31"/>
        <v>#N/A</v>
      </c>
      <c r="BF373" t="e">
        <f t="shared" ca="1" si="31"/>
        <v>#N/A</v>
      </c>
      <c r="BG373" t="e">
        <f t="shared" ca="1" si="31"/>
        <v>#N/A</v>
      </c>
      <c r="BH373" t="e">
        <f t="shared" ca="1" si="31"/>
        <v>#N/A</v>
      </c>
      <c r="BI373" t="e">
        <f t="shared" ca="1" si="31"/>
        <v>#N/A</v>
      </c>
      <c r="BJ373" t="e">
        <f t="shared" ca="1" si="31"/>
        <v>#N/A</v>
      </c>
      <c r="BK373" t="e">
        <f t="shared" ca="1" si="31"/>
        <v>#N/A</v>
      </c>
      <c r="BL373">
        <f t="shared" si="31"/>
        <v>0</v>
      </c>
      <c r="BM373">
        <f t="shared" si="31"/>
        <v>0</v>
      </c>
      <c r="BN373">
        <f t="shared" si="31"/>
        <v>0</v>
      </c>
      <c r="BO373">
        <f t="shared" si="32"/>
        <v>0</v>
      </c>
      <c r="BP373">
        <f t="shared" si="32"/>
        <v>0</v>
      </c>
      <c r="BQ373">
        <f t="shared" si="32"/>
        <v>0</v>
      </c>
      <c r="BR373">
        <f t="shared" si="32"/>
        <v>0</v>
      </c>
      <c r="BS373">
        <f t="shared" si="32"/>
        <v>0</v>
      </c>
      <c r="BT373">
        <f t="shared" si="32"/>
        <v>0</v>
      </c>
      <c r="BU373">
        <f t="shared" si="32"/>
        <v>0</v>
      </c>
      <c r="BV373">
        <f t="shared" si="32"/>
        <v>0</v>
      </c>
      <c r="BW373">
        <f t="shared" si="32"/>
        <v>0</v>
      </c>
      <c r="BX373">
        <f t="shared" si="32"/>
        <v>0</v>
      </c>
      <c r="BY373">
        <f t="shared" si="33"/>
        <v>0</v>
      </c>
      <c r="BZ373">
        <f t="shared" si="33"/>
        <v>0</v>
      </c>
      <c r="CA373">
        <f t="shared" si="33"/>
        <v>0</v>
      </c>
      <c r="CB373">
        <f t="shared" si="33"/>
        <v>0</v>
      </c>
      <c r="CC373">
        <f t="shared" si="33"/>
        <v>0</v>
      </c>
      <c r="CD373">
        <f t="shared" si="33"/>
        <v>0</v>
      </c>
      <c r="CE373">
        <f t="shared" si="33"/>
        <v>0</v>
      </c>
      <c r="CF373">
        <f t="shared" si="33"/>
        <v>0</v>
      </c>
      <c r="CG373">
        <f t="shared" si="33"/>
        <v>0</v>
      </c>
      <c r="CH373">
        <f t="shared" si="33"/>
        <v>0</v>
      </c>
      <c r="CI373">
        <f t="shared" si="34"/>
        <v>0</v>
      </c>
      <c r="CJ373">
        <f t="shared" si="34"/>
        <v>0</v>
      </c>
      <c r="CK373">
        <f t="shared" si="34"/>
        <v>0</v>
      </c>
      <c r="CL373">
        <f t="shared" si="34"/>
        <v>0</v>
      </c>
      <c r="CM373">
        <f t="shared" si="34"/>
        <v>0</v>
      </c>
      <c r="CN373">
        <f t="shared" si="34"/>
        <v>0</v>
      </c>
      <c r="CO373">
        <f t="shared" si="34"/>
        <v>0</v>
      </c>
      <c r="CP373">
        <f t="shared" si="34"/>
        <v>0</v>
      </c>
      <c r="CQ373">
        <f t="shared" si="34"/>
        <v>0</v>
      </c>
      <c r="CR373">
        <f t="shared" si="34"/>
        <v>0</v>
      </c>
      <c r="CS373">
        <f t="shared" si="35"/>
        <v>0</v>
      </c>
      <c r="CT373">
        <f t="shared" si="35"/>
        <v>0</v>
      </c>
      <c r="CU373">
        <f t="shared" si="35"/>
        <v>0</v>
      </c>
      <c r="CV373">
        <f t="shared" si="35"/>
        <v>0</v>
      </c>
      <c r="CW373">
        <f t="shared" si="35"/>
        <v>0</v>
      </c>
      <c r="CX373">
        <f t="shared" si="35"/>
        <v>0</v>
      </c>
      <c r="CY373">
        <f t="shared" si="35"/>
        <v>0</v>
      </c>
      <c r="CZ373">
        <f t="shared" si="35"/>
        <v>0</v>
      </c>
      <c r="DA373">
        <f t="shared" si="35"/>
        <v>0</v>
      </c>
      <c r="DB373">
        <f t="shared" si="35"/>
        <v>0</v>
      </c>
      <c r="DD373" s="8">
        <f t="shared" si="22"/>
        <v>7</v>
      </c>
      <c r="DF373" t="e">
        <f t="shared" ca="1" si="23"/>
        <v>#N/A</v>
      </c>
      <c r="DG373" t="e">
        <f t="shared" ca="1" si="24"/>
        <v>#N/A</v>
      </c>
      <c r="DH373" t="e">
        <f ca="1">SUM($DF$360:DF373)/$DG$359</f>
        <v>#N/A</v>
      </c>
      <c r="DI373" t="e">
        <f t="shared" ca="1" si="25"/>
        <v>#N/A</v>
      </c>
      <c r="DK373">
        <v>14</v>
      </c>
      <c r="DP373" s="1"/>
      <c r="DQ373" s="1"/>
      <c r="DR373" s="1"/>
      <c r="DS373" s="1"/>
      <c r="DT373" s="1"/>
      <c r="DU373" s="1"/>
      <c r="DV373" s="1"/>
      <c r="DW373" s="1"/>
      <c r="DX373" s="1"/>
      <c r="DY373" s="1"/>
      <c r="DZ373" s="1"/>
      <c r="EA373" s="1"/>
    </row>
    <row r="374" spans="7:131" x14ac:dyDescent="0.25">
      <c r="G374" t="e">
        <f t="shared" ca="1" si="26"/>
        <v>#N/A</v>
      </c>
      <c r="H374" t="e">
        <f t="shared" ca="1" si="26"/>
        <v>#N/A</v>
      </c>
      <c r="I374" t="e">
        <f t="shared" ca="1" si="26"/>
        <v>#N/A</v>
      </c>
      <c r="J374" t="e">
        <f t="shared" ca="1" si="26"/>
        <v>#N/A</v>
      </c>
      <c r="K374" t="e">
        <f t="shared" ca="1" si="26"/>
        <v>#N/A</v>
      </c>
      <c r="L374" t="e">
        <f t="shared" ca="1" si="26"/>
        <v>#N/A</v>
      </c>
      <c r="M374" t="e">
        <f t="shared" ca="1" si="26"/>
        <v>#N/A</v>
      </c>
      <c r="N374" t="e">
        <f t="shared" ca="1" si="26"/>
        <v>#N/A</v>
      </c>
      <c r="O374" t="e">
        <f t="shared" ca="1" si="26"/>
        <v>#N/A</v>
      </c>
      <c r="P374" t="e">
        <f t="shared" ca="1" si="26"/>
        <v>#N/A</v>
      </c>
      <c r="Q374" t="e">
        <f t="shared" ca="1" si="27"/>
        <v>#N/A</v>
      </c>
      <c r="R374" t="e">
        <f t="shared" ca="1" si="27"/>
        <v>#N/A</v>
      </c>
      <c r="S374" t="e">
        <f t="shared" ca="1" si="27"/>
        <v>#N/A</v>
      </c>
      <c r="T374" t="e">
        <f t="shared" ca="1" si="27"/>
        <v>#N/A</v>
      </c>
      <c r="U374" t="e">
        <f t="shared" ca="1" si="27"/>
        <v>#N/A</v>
      </c>
      <c r="V374" t="e">
        <f t="shared" ca="1" si="27"/>
        <v>#N/A</v>
      </c>
      <c r="W374" t="e">
        <f t="shared" ca="1" si="27"/>
        <v>#N/A</v>
      </c>
      <c r="X374" t="e">
        <f t="shared" ca="1" si="27"/>
        <v>#N/A</v>
      </c>
      <c r="Y374" t="e">
        <f t="shared" ca="1" si="27"/>
        <v>#N/A</v>
      </c>
      <c r="Z374" t="e">
        <f t="shared" ca="1" si="27"/>
        <v>#N/A</v>
      </c>
      <c r="AA374" t="e">
        <f t="shared" ca="1" si="28"/>
        <v>#N/A</v>
      </c>
      <c r="AB374" t="e">
        <f t="shared" ca="1" si="28"/>
        <v>#N/A</v>
      </c>
      <c r="AC374" t="e">
        <f t="shared" ca="1" si="28"/>
        <v>#N/A</v>
      </c>
      <c r="AD374" t="e">
        <f t="shared" ca="1" si="28"/>
        <v>#N/A</v>
      </c>
      <c r="AE374" t="e">
        <f t="shared" ca="1" si="28"/>
        <v>#N/A</v>
      </c>
      <c r="AF374" t="e">
        <f t="shared" ca="1" si="28"/>
        <v>#N/A</v>
      </c>
      <c r="AG374" t="e">
        <f t="shared" ca="1" si="28"/>
        <v>#N/A</v>
      </c>
      <c r="AH374" t="e">
        <f t="shared" ca="1" si="28"/>
        <v>#N/A</v>
      </c>
      <c r="AI374" t="e">
        <f t="shared" ca="1" si="28"/>
        <v>#N/A</v>
      </c>
      <c r="AJ374" t="e">
        <f t="shared" ca="1" si="28"/>
        <v>#N/A</v>
      </c>
      <c r="AK374" t="e">
        <f t="shared" ca="1" si="29"/>
        <v>#N/A</v>
      </c>
      <c r="AL374" t="e">
        <f t="shared" ca="1" si="29"/>
        <v>#N/A</v>
      </c>
      <c r="AM374" t="e">
        <f t="shared" ca="1" si="29"/>
        <v>#N/A</v>
      </c>
      <c r="AN374" t="e">
        <f t="shared" ca="1" si="29"/>
        <v>#N/A</v>
      </c>
      <c r="AO374" t="e">
        <f t="shared" ca="1" si="29"/>
        <v>#N/A</v>
      </c>
      <c r="AP374" t="e">
        <f t="shared" ca="1" si="29"/>
        <v>#N/A</v>
      </c>
      <c r="AQ374" t="e">
        <f t="shared" ca="1" si="29"/>
        <v>#N/A</v>
      </c>
      <c r="AR374" t="e">
        <f t="shared" ca="1" si="29"/>
        <v>#N/A</v>
      </c>
      <c r="AS374" t="e">
        <f t="shared" ca="1" si="29"/>
        <v>#N/A</v>
      </c>
      <c r="AT374" t="e">
        <f t="shared" ca="1" si="29"/>
        <v>#N/A</v>
      </c>
      <c r="AU374" t="e">
        <f t="shared" ca="1" si="30"/>
        <v>#N/A</v>
      </c>
      <c r="AV374" t="e">
        <f t="shared" ca="1" si="30"/>
        <v>#N/A</v>
      </c>
      <c r="AW374" t="e">
        <f t="shared" ca="1" si="30"/>
        <v>#N/A</v>
      </c>
      <c r="AX374" t="e">
        <f t="shared" ca="1" si="30"/>
        <v>#N/A</v>
      </c>
      <c r="AY374" t="e">
        <f t="shared" ca="1" si="30"/>
        <v>#N/A</v>
      </c>
      <c r="AZ374" t="e">
        <f t="shared" ca="1" si="30"/>
        <v>#N/A</v>
      </c>
      <c r="BA374" t="e">
        <f t="shared" ca="1" si="30"/>
        <v>#N/A</v>
      </c>
      <c r="BB374" t="e">
        <f t="shared" ca="1" si="30"/>
        <v>#N/A</v>
      </c>
      <c r="BC374" t="e">
        <f t="shared" ca="1" si="30"/>
        <v>#N/A</v>
      </c>
      <c r="BD374" t="e">
        <f t="shared" ca="1" si="30"/>
        <v>#N/A</v>
      </c>
      <c r="BE374" t="e">
        <f t="shared" ca="1" si="31"/>
        <v>#N/A</v>
      </c>
      <c r="BF374" t="e">
        <f t="shared" ca="1" si="31"/>
        <v>#N/A</v>
      </c>
      <c r="BG374" t="e">
        <f t="shared" ca="1" si="31"/>
        <v>#N/A</v>
      </c>
      <c r="BH374" t="e">
        <f t="shared" ca="1" si="31"/>
        <v>#N/A</v>
      </c>
      <c r="BI374" t="e">
        <f t="shared" ca="1" si="31"/>
        <v>#N/A</v>
      </c>
      <c r="BJ374" t="e">
        <f t="shared" ca="1" si="31"/>
        <v>#N/A</v>
      </c>
      <c r="BK374">
        <f t="shared" si="31"/>
        <v>0</v>
      </c>
      <c r="BL374">
        <f t="shared" si="31"/>
        <v>0</v>
      </c>
      <c r="BM374">
        <f t="shared" si="31"/>
        <v>0</v>
      </c>
      <c r="BN374">
        <f t="shared" si="31"/>
        <v>0</v>
      </c>
      <c r="BO374">
        <f t="shared" si="32"/>
        <v>0</v>
      </c>
      <c r="BP374">
        <f t="shared" si="32"/>
        <v>0</v>
      </c>
      <c r="BQ374">
        <f t="shared" si="32"/>
        <v>0</v>
      </c>
      <c r="BR374">
        <f t="shared" si="32"/>
        <v>0</v>
      </c>
      <c r="BS374">
        <f t="shared" si="32"/>
        <v>0</v>
      </c>
      <c r="BT374">
        <f t="shared" si="32"/>
        <v>0</v>
      </c>
      <c r="BU374">
        <f t="shared" si="32"/>
        <v>0</v>
      </c>
      <c r="BV374">
        <f t="shared" si="32"/>
        <v>0</v>
      </c>
      <c r="BW374">
        <f t="shared" si="32"/>
        <v>0</v>
      </c>
      <c r="BX374">
        <f t="shared" si="32"/>
        <v>0</v>
      </c>
      <c r="BY374">
        <f t="shared" si="33"/>
        <v>0</v>
      </c>
      <c r="BZ374">
        <f t="shared" si="33"/>
        <v>0</v>
      </c>
      <c r="CA374">
        <f t="shared" si="33"/>
        <v>0</v>
      </c>
      <c r="CB374">
        <f t="shared" si="33"/>
        <v>0</v>
      </c>
      <c r="CC374">
        <f t="shared" si="33"/>
        <v>0</v>
      </c>
      <c r="CD374">
        <f t="shared" si="33"/>
        <v>0</v>
      </c>
      <c r="CE374">
        <f t="shared" si="33"/>
        <v>0</v>
      </c>
      <c r="CF374">
        <f t="shared" si="33"/>
        <v>0</v>
      </c>
      <c r="CG374">
        <f t="shared" si="33"/>
        <v>0</v>
      </c>
      <c r="CH374">
        <f t="shared" si="33"/>
        <v>0</v>
      </c>
      <c r="CI374">
        <f t="shared" si="34"/>
        <v>0</v>
      </c>
      <c r="CJ374">
        <f t="shared" si="34"/>
        <v>0</v>
      </c>
      <c r="CK374">
        <f t="shared" si="34"/>
        <v>0</v>
      </c>
      <c r="CL374">
        <f t="shared" si="34"/>
        <v>0</v>
      </c>
      <c r="CM374">
        <f t="shared" si="34"/>
        <v>0</v>
      </c>
      <c r="CN374">
        <f t="shared" si="34"/>
        <v>0</v>
      </c>
      <c r="CO374">
        <f t="shared" si="34"/>
        <v>0</v>
      </c>
      <c r="CP374">
        <f t="shared" si="34"/>
        <v>0</v>
      </c>
      <c r="CQ374">
        <f t="shared" si="34"/>
        <v>0</v>
      </c>
      <c r="CR374">
        <f t="shared" si="34"/>
        <v>0</v>
      </c>
      <c r="CS374">
        <f t="shared" si="35"/>
        <v>0</v>
      </c>
      <c r="CT374">
        <f t="shared" si="35"/>
        <v>0</v>
      </c>
      <c r="CU374">
        <f t="shared" si="35"/>
        <v>0</v>
      </c>
      <c r="CV374">
        <f t="shared" si="35"/>
        <v>0</v>
      </c>
      <c r="CW374">
        <f t="shared" si="35"/>
        <v>0</v>
      </c>
      <c r="CX374">
        <f t="shared" si="35"/>
        <v>0</v>
      </c>
      <c r="CY374">
        <f t="shared" si="35"/>
        <v>0</v>
      </c>
      <c r="CZ374">
        <f t="shared" si="35"/>
        <v>0</v>
      </c>
      <c r="DA374">
        <f t="shared" si="35"/>
        <v>0</v>
      </c>
      <c r="DB374">
        <f t="shared" si="35"/>
        <v>0</v>
      </c>
      <c r="DD374" s="8">
        <f t="shared" si="22"/>
        <v>6</v>
      </c>
      <c r="DF374" t="e">
        <f t="shared" ca="1" si="23"/>
        <v>#N/A</v>
      </c>
      <c r="DG374" t="e">
        <f t="shared" ca="1" si="24"/>
        <v>#N/A</v>
      </c>
      <c r="DH374" t="e">
        <f ca="1">SUM($DF$360:DF374)/$DG$359</f>
        <v>#N/A</v>
      </c>
      <c r="DI374" t="e">
        <f t="shared" ca="1" si="25"/>
        <v>#N/A</v>
      </c>
      <c r="DK374">
        <v>15</v>
      </c>
      <c r="DP374" s="1"/>
      <c r="DQ374" s="1"/>
      <c r="DR374" s="1"/>
      <c r="DS374" s="1"/>
      <c r="DT374" s="1"/>
      <c r="DU374" s="1"/>
      <c r="DV374" s="1"/>
      <c r="DW374" s="1"/>
      <c r="DX374" s="1"/>
      <c r="DY374" s="1"/>
      <c r="DZ374" s="1"/>
      <c r="EA374" s="1"/>
    </row>
    <row r="375" spans="7:131" x14ac:dyDescent="0.25">
      <c r="G375" t="e">
        <f t="shared" ca="1" si="26"/>
        <v>#N/A</v>
      </c>
      <c r="H375" t="e">
        <f t="shared" ca="1" si="26"/>
        <v>#N/A</v>
      </c>
      <c r="I375" t="e">
        <f t="shared" ca="1" si="26"/>
        <v>#N/A</v>
      </c>
      <c r="J375" t="e">
        <f t="shared" ca="1" si="26"/>
        <v>#N/A</v>
      </c>
      <c r="K375" t="e">
        <f t="shared" ca="1" si="26"/>
        <v>#N/A</v>
      </c>
      <c r="L375" t="e">
        <f t="shared" ca="1" si="26"/>
        <v>#N/A</v>
      </c>
      <c r="M375" t="e">
        <f t="shared" ca="1" si="26"/>
        <v>#N/A</v>
      </c>
      <c r="N375" t="e">
        <f t="shared" ca="1" si="26"/>
        <v>#N/A</v>
      </c>
      <c r="O375" t="e">
        <f t="shared" ca="1" si="26"/>
        <v>#N/A</v>
      </c>
      <c r="P375" t="e">
        <f t="shared" ca="1" si="26"/>
        <v>#N/A</v>
      </c>
      <c r="Q375" t="e">
        <f t="shared" ca="1" si="27"/>
        <v>#N/A</v>
      </c>
      <c r="R375" t="e">
        <f t="shared" ca="1" si="27"/>
        <v>#N/A</v>
      </c>
      <c r="S375" t="e">
        <f t="shared" ca="1" si="27"/>
        <v>#N/A</v>
      </c>
      <c r="T375" t="e">
        <f t="shared" ca="1" si="27"/>
        <v>#N/A</v>
      </c>
      <c r="U375" t="e">
        <f t="shared" ca="1" si="27"/>
        <v>#N/A</v>
      </c>
      <c r="V375" t="e">
        <f t="shared" ca="1" si="27"/>
        <v>#N/A</v>
      </c>
      <c r="W375" t="e">
        <f t="shared" ca="1" si="27"/>
        <v>#N/A</v>
      </c>
      <c r="X375" t="e">
        <f t="shared" ca="1" si="27"/>
        <v>#N/A</v>
      </c>
      <c r="Y375" t="e">
        <f t="shared" ca="1" si="27"/>
        <v>#N/A</v>
      </c>
      <c r="Z375" t="e">
        <f t="shared" ca="1" si="27"/>
        <v>#N/A</v>
      </c>
      <c r="AA375" t="e">
        <f t="shared" ca="1" si="28"/>
        <v>#N/A</v>
      </c>
      <c r="AB375" t="e">
        <f t="shared" ca="1" si="28"/>
        <v>#N/A</v>
      </c>
      <c r="AC375" t="e">
        <f t="shared" ca="1" si="28"/>
        <v>#N/A</v>
      </c>
      <c r="AD375" t="e">
        <f t="shared" ca="1" si="28"/>
        <v>#N/A</v>
      </c>
      <c r="AE375" t="e">
        <f t="shared" ca="1" si="28"/>
        <v>#N/A</v>
      </c>
      <c r="AF375" t="e">
        <f t="shared" ca="1" si="28"/>
        <v>#N/A</v>
      </c>
      <c r="AG375" t="e">
        <f t="shared" ca="1" si="28"/>
        <v>#N/A</v>
      </c>
      <c r="AH375" t="e">
        <f t="shared" ca="1" si="28"/>
        <v>#N/A</v>
      </c>
      <c r="AI375" t="e">
        <f t="shared" ca="1" si="28"/>
        <v>#N/A</v>
      </c>
      <c r="AJ375" t="e">
        <f t="shared" ca="1" si="28"/>
        <v>#N/A</v>
      </c>
      <c r="AK375" t="e">
        <f t="shared" ca="1" si="29"/>
        <v>#N/A</v>
      </c>
      <c r="AL375" t="e">
        <f t="shared" ca="1" si="29"/>
        <v>#N/A</v>
      </c>
      <c r="AM375" t="e">
        <f t="shared" ca="1" si="29"/>
        <v>#N/A</v>
      </c>
      <c r="AN375" t="e">
        <f t="shared" ca="1" si="29"/>
        <v>#N/A</v>
      </c>
      <c r="AO375" t="e">
        <f t="shared" ca="1" si="29"/>
        <v>#N/A</v>
      </c>
      <c r="AP375" t="e">
        <f t="shared" ca="1" si="29"/>
        <v>#N/A</v>
      </c>
      <c r="AQ375" t="e">
        <f t="shared" ca="1" si="29"/>
        <v>#N/A</v>
      </c>
      <c r="AR375" t="e">
        <f t="shared" ca="1" si="29"/>
        <v>#N/A</v>
      </c>
      <c r="AS375" t="e">
        <f t="shared" ca="1" si="29"/>
        <v>#N/A</v>
      </c>
      <c r="AT375" t="e">
        <f t="shared" ca="1" si="29"/>
        <v>#N/A</v>
      </c>
      <c r="AU375" t="e">
        <f t="shared" ca="1" si="30"/>
        <v>#N/A</v>
      </c>
      <c r="AV375" t="e">
        <f t="shared" ca="1" si="30"/>
        <v>#N/A</v>
      </c>
      <c r="AW375" t="e">
        <f t="shared" ca="1" si="30"/>
        <v>#N/A</v>
      </c>
      <c r="AX375" t="e">
        <f t="shared" ca="1" si="30"/>
        <v>#N/A</v>
      </c>
      <c r="AY375" t="e">
        <f t="shared" ca="1" si="30"/>
        <v>#N/A</v>
      </c>
      <c r="AZ375" t="e">
        <f t="shared" ca="1" si="30"/>
        <v>#N/A</v>
      </c>
      <c r="BA375" t="e">
        <f t="shared" ca="1" si="30"/>
        <v>#N/A</v>
      </c>
      <c r="BB375" t="e">
        <f t="shared" ca="1" si="30"/>
        <v>#N/A</v>
      </c>
      <c r="BC375" t="e">
        <f t="shared" ca="1" si="30"/>
        <v>#N/A</v>
      </c>
      <c r="BD375" t="e">
        <f t="shared" ca="1" si="30"/>
        <v>#N/A</v>
      </c>
      <c r="BE375" t="e">
        <f t="shared" ca="1" si="31"/>
        <v>#N/A</v>
      </c>
      <c r="BF375" t="e">
        <f t="shared" ca="1" si="31"/>
        <v>#N/A</v>
      </c>
      <c r="BG375" t="e">
        <f t="shared" ca="1" si="31"/>
        <v>#N/A</v>
      </c>
      <c r="BH375" t="e">
        <f t="shared" ca="1" si="31"/>
        <v>#N/A</v>
      </c>
      <c r="BI375" t="e">
        <f t="shared" ca="1" si="31"/>
        <v>#N/A</v>
      </c>
      <c r="BJ375">
        <f t="shared" si="31"/>
        <v>0</v>
      </c>
      <c r="BK375">
        <f t="shared" si="31"/>
        <v>0</v>
      </c>
      <c r="BL375">
        <f t="shared" si="31"/>
        <v>0</v>
      </c>
      <c r="BM375">
        <f t="shared" si="31"/>
        <v>0</v>
      </c>
      <c r="BN375">
        <f t="shared" si="31"/>
        <v>0</v>
      </c>
      <c r="BO375">
        <f t="shared" si="32"/>
        <v>0</v>
      </c>
      <c r="BP375">
        <f t="shared" si="32"/>
        <v>0</v>
      </c>
      <c r="BQ375">
        <f t="shared" si="32"/>
        <v>0</v>
      </c>
      <c r="BR375">
        <f t="shared" si="32"/>
        <v>0</v>
      </c>
      <c r="BS375">
        <f t="shared" si="32"/>
        <v>0</v>
      </c>
      <c r="BT375">
        <f t="shared" si="32"/>
        <v>0</v>
      </c>
      <c r="BU375">
        <f t="shared" si="32"/>
        <v>0</v>
      </c>
      <c r="BV375">
        <f t="shared" si="32"/>
        <v>0</v>
      </c>
      <c r="BW375">
        <f t="shared" si="32"/>
        <v>0</v>
      </c>
      <c r="BX375">
        <f t="shared" si="32"/>
        <v>0</v>
      </c>
      <c r="BY375">
        <f t="shared" si="33"/>
        <v>0</v>
      </c>
      <c r="BZ375">
        <f t="shared" si="33"/>
        <v>0</v>
      </c>
      <c r="CA375">
        <f t="shared" si="33"/>
        <v>0</v>
      </c>
      <c r="CB375">
        <f t="shared" si="33"/>
        <v>0</v>
      </c>
      <c r="CC375">
        <f t="shared" si="33"/>
        <v>0</v>
      </c>
      <c r="CD375">
        <f t="shared" si="33"/>
        <v>0</v>
      </c>
      <c r="CE375">
        <f t="shared" si="33"/>
        <v>0</v>
      </c>
      <c r="CF375">
        <f t="shared" si="33"/>
        <v>0</v>
      </c>
      <c r="CG375">
        <f t="shared" si="33"/>
        <v>0</v>
      </c>
      <c r="CH375">
        <f t="shared" si="33"/>
        <v>0</v>
      </c>
      <c r="CI375">
        <f t="shared" si="34"/>
        <v>0</v>
      </c>
      <c r="CJ375">
        <f t="shared" si="34"/>
        <v>0</v>
      </c>
      <c r="CK375">
        <f t="shared" si="34"/>
        <v>0</v>
      </c>
      <c r="CL375">
        <f t="shared" si="34"/>
        <v>0</v>
      </c>
      <c r="CM375">
        <f t="shared" si="34"/>
        <v>0</v>
      </c>
      <c r="CN375">
        <f t="shared" si="34"/>
        <v>0</v>
      </c>
      <c r="CO375">
        <f t="shared" si="34"/>
        <v>0</v>
      </c>
      <c r="CP375">
        <f t="shared" si="34"/>
        <v>0</v>
      </c>
      <c r="CQ375">
        <f t="shared" si="34"/>
        <v>0</v>
      </c>
      <c r="CR375">
        <f t="shared" si="34"/>
        <v>0</v>
      </c>
      <c r="CS375">
        <f t="shared" si="35"/>
        <v>0</v>
      </c>
      <c r="CT375">
        <f t="shared" si="35"/>
        <v>0</v>
      </c>
      <c r="CU375">
        <f t="shared" si="35"/>
        <v>0</v>
      </c>
      <c r="CV375">
        <f t="shared" si="35"/>
        <v>0</v>
      </c>
      <c r="CW375">
        <f t="shared" si="35"/>
        <v>0</v>
      </c>
      <c r="CX375">
        <f t="shared" si="35"/>
        <v>0</v>
      </c>
      <c r="CY375">
        <f t="shared" si="35"/>
        <v>0</v>
      </c>
      <c r="CZ375">
        <f t="shared" si="35"/>
        <v>0</v>
      </c>
      <c r="DA375">
        <f t="shared" si="35"/>
        <v>0</v>
      </c>
      <c r="DB375">
        <f t="shared" si="35"/>
        <v>0</v>
      </c>
      <c r="DD375" s="8">
        <f t="shared" si="22"/>
        <v>5</v>
      </c>
      <c r="DF375" t="e">
        <f t="shared" ca="1" si="23"/>
        <v>#N/A</v>
      </c>
      <c r="DG375" t="e">
        <f t="shared" ca="1" si="24"/>
        <v>#N/A</v>
      </c>
      <c r="DH375" t="e">
        <f ca="1">SUM($DF$360:DF375)/$DG$359</f>
        <v>#N/A</v>
      </c>
      <c r="DI375" t="e">
        <f t="shared" ca="1" si="25"/>
        <v>#N/A</v>
      </c>
      <c r="DK375">
        <v>16</v>
      </c>
      <c r="DP375" s="1"/>
      <c r="DQ375" s="1"/>
      <c r="DR375" s="1"/>
      <c r="DS375" s="1"/>
      <c r="DT375" s="1"/>
      <c r="DU375" s="1"/>
      <c r="DV375" s="1"/>
      <c r="DW375" s="1"/>
      <c r="DX375" s="1"/>
      <c r="DY375" s="1"/>
      <c r="DZ375" s="1"/>
      <c r="EA375" s="1"/>
    </row>
    <row r="376" spans="7:131" x14ac:dyDescent="0.25">
      <c r="G376" t="e">
        <f t="shared" ca="1" si="26"/>
        <v>#N/A</v>
      </c>
      <c r="H376" t="e">
        <f t="shared" ca="1" si="26"/>
        <v>#N/A</v>
      </c>
      <c r="I376" t="e">
        <f t="shared" ca="1" si="26"/>
        <v>#N/A</v>
      </c>
      <c r="J376" t="e">
        <f t="shared" ca="1" si="26"/>
        <v>#N/A</v>
      </c>
      <c r="K376" t="e">
        <f t="shared" ca="1" si="26"/>
        <v>#N/A</v>
      </c>
      <c r="L376" t="e">
        <f t="shared" ca="1" si="26"/>
        <v>#N/A</v>
      </c>
      <c r="M376" t="e">
        <f t="shared" ca="1" si="26"/>
        <v>#N/A</v>
      </c>
      <c r="N376" t="e">
        <f t="shared" ca="1" si="26"/>
        <v>#N/A</v>
      </c>
      <c r="O376" t="e">
        <f t="shared" ca="1" si="26"/>
        <v>#N/A</v>
      </c>
      <c r="P376" t="e">
        <f t="shared" ca="1" si="26"/>
        <v>#N/A</v>
      </c>
      <c r="Q376" t="e">
        <f t="shared" ca="1" si="27"/>
        <v>#N/A</v>
      </c>
      <c r="R376" t="e">
        <f t="shared" ca="1" si="27"/>
        <v>#N/A</v>
      </c>
      <c r="S376" t="e">
        <f t="shared" ca="1" si="27"/>
        <v>#N/A</v>
      </c>
      <c r="T376" t="e">
        <f t="shared" ca="1" si="27"/>
        <v>#N/A</v>
      </c>
      <c r="U376" t="e">
        <f t="shared" ca="1" si="27"/>
        <v>#N/A</v>
      </c>
      <c r="V376" t="e">
        <f t="shared" ca="1" si="27"/>
        <v>#N/A</v>
      </c>
      <c r="W376" t="e">
        <f t="shared" ca="1" si="27"/>
        <v>#N/A</v>
      </c>
      <c r="X376" t="e">
        <f t="shared" ca="1" si="27"/>
        <v>#N/A</v>
      </c>
      <c r="Y376" t="e">
        <f t="shared" ca="1" si="27"/>
        <v>#N/A</v>
      </c>
      <c r="Z376" t="e">
        <f t="shared" ca="1" si="27"/>
        <v>#N/A</v>
      </c>
      <c r="AA376" t="e">
        <f t="shared" ca="1" si="28"/>
        <v>#N/A</v>
      </c>
      <c r="AB376" t="e">
        <f t="shared" ca="1" si="28"/>
        <v>#N/A</v>
      </c>
      <c r="AC376" t="e">
        <f t="shared" ca="1" si="28"/>
        <v>#N/A</v>
      </c>
      <c r="AD376" t="e">
        <f t="shared" ca="1" si="28"/>
        <v>#N/A</v>
      </c>
      <c r="AE376" t="e">
        <f t="shared" ca="1" si="28"/>
        <v>#N/A</v>
      </c>
      <c r="AF376" t="e">
        <f t="shared" ca="1" si="28"/>
        <v>#N/A</v>
      </c>
      <c r="AG376" t="e">
        <f t="shared" ca="1" si="28"/>
        <v>#N/A</v>
      </c>
      <c r="AH376" t="e">
        <f t="shared" ca="1" si="28"/>
        <v>#N/A</v>
      </c>
      <c r="AI376" t="e">
        <f t="shared" ca="1" si="28"/>
        <v>#N/A</v>
      </c>
      <c r="AJ376" t="e">
        <f t="shared" ca="1" si="28"/>
        <v>#N/A</v>
      </c>
      <c r="AK376" t="e">
        <f t="shared" ca="1" si="29"/>
        <v>#N/A</v>
      </c>
      <c r="AL376" t="e">
        <f t="shared" ca="1" si="29"/>
        <v>#N/A</v>
      </c>
      <c r="AM376" t="e">
        <f t="shared" ca="1" si="29"/>
        <v>#N/A</v>
      </c>
      <c r="AN376" t="e">
        <f t="shared" ca="1" si="29"/>
        <v>#N/A</v>
      </c>
      <c r="AO376" t="e">
        <f t="shared" ca="1" si="29"/>
        <v>#N/A</v>
      </c>
      <c r="AP376" t="e">
        <f t="shared" ca="1" si="29"/>
        <v>#N/A</v>
      </c>
      <c r="AQ376" t="e">
        <f t="shared" ca="1" si="29"/>
        <v>#N/A</v>
      </c>
      <c r="AR376" t="e">
        <f t="shared" ca="1" si="29"/>
        <v>#N/A</v>
      </c>
      <c r="AS376" t="e">
        <f t="shared" ca="1" si="29"/>
        <v>#N/A</v>
      </c>
      <c r="AT376" t="e">
        <f t="shared" ca="1" si="29"/>
        <v>#N/A</v>
      </c>
      <c r="AU376" t="e">
        <f t="shared" ca="1" si="30"/>
        <v>#N/A</v>
      </c>
      <c r="AV376" t="e">
        <f t="shared" ca="1" si="30"/>
        <v>#N/A</v>
      </c>
      <c r="AW376" t="e">
        <f t="shared" ca="1" si="30"/>
        <v>#N/A</v>
      </c>
      <c r="AX376" t="e">
        <f t="shared" ca="1" si="30"/>
        <v>#N/A</v>
      </c>
      <c r="AY376" t="e">
        <f t="shared" ca="1" si="30"/>
        <v>#N/A</v>
      </c>
      <c r="AZ376" t="e">
        <f t="shared" ca="1" si="30"/>
        <v>#N/A</v>
      </c>
      <c r="BA376" t="e">
        <f t="shared" ca="1" si="30"/>
        <v>#N/A</v>
      </c>
      <c r="BB376" t="e">
        <f t="shared" ca="1" si="30"/>
        <v>#N/A</v>
      </c>
      <c r="BC376" t="e">
        <f t="shared" ca="1" si="30"/>
        <v>#N/A</v>
      </c>
      <c r="BD376" t="e">
        <f t="shared" ca="1" si="30"/>
        <v>#N/A</v>
      </c>
      <c r="BE376" t="e">
        <f t="shared" ca="1" si="31"/>
        <v>#N/A</v>
      </c>
      <c r="BF376" t="e">
        <f t="shared" ca="1" si="31"/>
        <v>#N/A</v>
      </c>
      <c r="BG376" t="e">
        <f t="shared" ca="1" si="31"/>
        <v>#N/A</v>
      </c>
      <c r="BH376" t="e">
        <f t="shared" ca="1" si="31"/>
        <v>#N/A</v>
      </c>
      <c r="BI376">
        <f t="shared" si="31"/>
        <v>0</v>
      </c>
      <c r="BJ376">
        <f t="shared" si="31"/>
        <v>0</v>
      </c>
      <c r="BK376">
        <f t="shared" si="31"/>
        <v>0</v>
      </c>
      <c r="BL376">
        <f t="shared" si="31"/>
        <v>0</v>
      </c>
      <c r="BM376">
        <f t="shared" si="31"/>
        <v>0</v>
      </c>
      <c r="BN376">
        <f t="shared" si="31"/>
        <v>0</v>
      </c>
      <c r="BO376">
        <f t="shared" si="32"/>
        <v>0</v>
      </c>
      <c r="BP376">
        <f t="shared" si="32"/>
        <v>0</v>
      </c>
      <c r="BQ376">
        <f t="shared" si="32"/>
        <v>0</v>
      </c>
      <c r="BR376">
        <f t="shared" si="32"/>
        <v>0</v>
      </c>
      <c r="BS376">
        <f t="shared" si="32"/>
        <v>0</v>
      </c>
      <c r="BT376">
        <f t="shared" si="32"/>
        <v>0</v>
      </c>
      <c r="BU376">
        <f t="shared" si="32"/>
        <v>0</v>
      </c>
      <c r="BV376">
        <f t="shared" si="32"/>
        <v>0</v>
      </c>
      <c r="BW376">
        <f t="shared" si="32"/>
        <v>0</v>
      </c>
      <c r="BX376">
        <f t="shared" si="32"/>
        <v>0</v>
      </c>
      <c r="BY376">
        <f t="shared" si="33"/>
        <v>0</v>
      </c>
      <c r="BZ376">
        <f t="shared" si="33"/>
        <v>0</v>
      </c>
      <c r="CA376">
        <f t="shared" si="33"/>
        <v>0</v>
      </c>
      <c r="CB376">
        <f t="shared" si="33"/>
        <v>0</v>
      </c>
      <c r="CC376">
        <f t="shared" si="33"/>
        <v>0</v>
      </c>
      <c r="CD376">
        <f t="shared" si="33"/>
        <v>0</v>
      </c>
      <c r="CE376">
        <f t="shared" si="33"/>
        <v>0</v>
      </c>
      <c r="CF376">
        <f t="shared" si="33"/>
        <v>0</v>
      </c>
      <c r="CG376">
        <f t="shared" si="33"/>
        <v>0</v>
      </c>
      <c r="CH376">
        <f t="shared" si="33"/>
        <v>0</v>
      </c>
      <c r="CI376">
        <f t="shared" si="34"/>
        <v>0</v>
      </c>
      <c r="CJ376">
        <f t="shared" si="34"/>
        <v>0</v>
      </c>
      <c r="CK376">
        <f t="shared" si="34"/>
        <v>0</v>
      </c>
      <c r="CL376">
        <f t="shared" si="34"/>
        <v>0</v>
      </c>
      <c r="CM376">
        <f t="shared" si="34"/>
        <v>0</v>
      </c>
      <c r="CN376">
        <f t="shared" si="34"/>
        <v>0</v>
      </c>
      <c r="CO376">
        <f t="shared" si="34"/>
        <v>0</v>
      </c>
      <c r="CP376">
        <f t="shared" si="34"/>
        <v>0</v>
      </c>
      <c r="CQ376">
        <f t="shared" si="34"/>
        <v>0</v>
      </c>
      <c r="CR376">
        <f t="shared" si="34"/>
        <v>0</v>
      </c>
      <c r="CS376">
        <f t="shared" si="35"/>
        <v>0</v>
      </c>
      <c r="CT376">
        <f t="shared" si="35"/>
        <v>0</v>
      </c>
      <c r="CU376">
        <f t="shared" si="35"/>
        <v>0</v>
      </c>
      <c r="CV376">
        <f t="shared" si="35"/>
        <v>0</v>
      </c>
      <c r="CW376">
        <f t="shared" si="35"/>
        <v>0</v>
      </c>
      <c r="CX376">
        <f t="shared" si="35"/>
        <v>0</v>
      </c>
      <c r="CY376">
        <f t="shared" si="35"/>
        <v>0</v>
      </c>
      <c r="CZ376">
        <f t="shared" si="35"/>
        <v>0</v>
      </c>
      <c r="DA376">
        <f t="shared" si="35"/>
        <v>0</v>
      </c>
      <c r="DB376">
        <f t="shared" si="35"/>
        <v>0</v>
      </c>
      <c r="DD376" s="8">
        <f t="shared" si="22"/>
        <v>4</v>
      </c>
      <c r="DF376" t="e">
        <f t="shared" ca="1" si="23"/>
        <v>#N/A</v>
      </c>
      <c r="DG376" t="e">
        <f t="shared" ca="1" si="24"/>
        <v>#N/A</v>
      </c>
      <c r="DH376" t="e">
        <f ca="1">SUM($DF$360:DF376)/$DG$359</f>
        <v>#N/A</v>
      </c>
      <c r="DI376" t="e">
        <f t="shared" ca="1" si="25"/>
        <v>#N/A</v>
      </c>
      <c r="DK376">
        <v>17</v>
      </c>
      <c r="DP376" s="1"/>
      <c r="DQ376" s="1"/>
      <c r="DR376" s="1"/>
      <c r="DS376" s="1"/>
      <c r="DT376" s="1"/>
      <c r="DU376" s="1"/>
      <c r="DV376" s="1"/>
      <c r="DW376" s="1"/>
      <c r="DX376" s="1"/>
      <c r="DY376" s="1"/>
      <c r="DZ376" s="1"/>
      <c r="EA376" s="1"/>
    </row>
    <row r="377" spans="7:131" x14ac:dyDescent="0.25">
      <c r="G377" t="e">
        <f t="shared" ca="1" si="26"/>
        <v>#N/A</v>
      </c>
      <c r="H377" t="e">
        <f t="shared" ca="1" si="26"/>
        <v>#N/A</v>
      </c>
      <c r="I377" t="e">
        <f t="shared" ca="1" si="26"/>
        <v>#N/A</v>
      </c>
      <c r="J377" t="e">
        <f t="shared" ca="1" si="26"/>
        <v>#N/A</v>
      </c>
      <c r="K377" t="e">
        <f t="shared" ca="1" si="26"/>
        <v>#N/A</v>
      </c>
      <c r="L377" t="e">
        <f t="shared" ca="1" si="26"/>
        <v>#N/A</v>
      </c>
      <c r="M377" t="e">
        <f t="shared" ca="1" si="26"/>
        <v>#N/A</v>
      </c>
      <c r="N377" t="e">
        <f t="shared" ca="1" si="26"/>
        <v>#N/A</v>
      </c>
      <c r="O377" t="e">
        <f t="shared" ca="1" si="26"/>
        <v>#N/A</v>
      </c>
      <c r="P377" t="e">
        <f t="shared" ca="1" si="26"/>
        <v>#N/A</v>
      </c>
      <c r="Q377" t="e">
        <f t="shared" ca="1" si="27"/>
        <v>#N/A</v>
      </c>
      <c r="R377" t="e">
        <f t="shared" ca="1" si="27"/>
        <v>#N/A</v>
      </c>
      <c r="S377" t="e">
        <f t="shared" ca="1" si="27"/>
        <v>#N/A</v>
      </c>
      <c r="T377" t="e">
        <f t="shared" ca="1" si="27"/>
        <v>#N/A</v>
      </c>
      <c r="U377" t="e">
        <f t="shared" ca="1" si="27"/>
        <v>#N/A</v>
      </c>
      <c r="V377" t="e">
        <f t="shared" ca="1" si="27"/>
        <v>#N/A</v>
      </c>
      <c r="W377" t="e">
        <f t="shared" ca="1" si="27"/>
        <v>#N/A</v>
      </c>
      <c r="X377" t="e">
        <f t="shared" ca="1" si="27"/>
        <v>#N/A</v>
      </c>
      <c r="Y377" t="e">
        <f t="shared" ca="1" si="27"/>
        <v>#N/A</v>
      </c>
      <c r="Z377" t="e">
        <f t="shared" ca="1" si="27"/>
        <v>#N/A</v>
      </c>
      <c r="AA377" t="e">
        <f t="shared" ca="1" si="28"/>
        <v>#N/A</v>
      </c>
      <c r="AB377" t="e">
        <f t="shared" ca="1" si="28"/>
        <v>#N/A</v>
      </c>
      <c r="AC377" t="e">
        <f t="shared" ca="1" si="28"/>
        <v>#N/A</v>
      </c>
      <c r="AD377" t="e">
        <f t="shared" ca="1" si="28"/>
        <v>#N/A</v>
      </c>
      <c r="AE377" t="e">
        <f t="shared" ca="1" si="28"/>
        <v>#N/A</v>
      </c>
      <c r="AF377" t="e">
        <f t="shared" ca="1" si="28"/>
        <v>#N/A</v>
      </c>
      <c r="AG377" t="e">
        <f t="shared" ca="1" si="28"/>
        <v>#N/A</v>
      </c>
      <c r="AH377" t="e">
        <f t="shared" ca="1" si="28"/>
        <v>#N/A</v>
      </c>
      <c r="AI377" t="e">
        <f t="shared" ca="1" si="28"/>
        <v>#N/A</v>
      </c>
      <c r="AJ377" t="e">
        <f t="shared" ca="1" si="28"/>
        <v>#N/A</v>
      </c>
      <c r="AK377" t="e">
        <f t="shared" ca="1" si="29"/>
        <v>#N/A</v>
      </c>
      <c r="AL377" t="e">
        <f t="shared" ca="1" si="29"/>
        <v>#N/A</v>
      </c>
      <c r="AM377" t="e">
        <f t="shared" ca="1" si="29"/>
        <v>#N/A</v>
      </c>
      <c r="AN377" t="e">
        <f t="shared" ca="1" si="29"/>
        <v>#N/A</v>
      </c>
      <c r="AO377" t="e">
        <f t="shared" ca="1" si="29"/>
        <v>#N/A</v>
      </c>
      <c r="AP377" t="e">
        <f t="shared" ca="1" si="29"/>
        <v>#N/A</v>
      </c>
      <c r="AQ377" t="e">
        <f t="shared" ca="1" si="29"/>
        <v>#N/A</v>
      </c>
      <c r="AR377" t="e">
        <f t="shared" ca="1" si="29"/>
        <v>#N/A</v>
      </c>
      <c r="AS377" t="e">
        <f t="shared" ca="1" si="29"/>
        <v>#N/A</v>
      </c>
      <c r="AT377" t="e">
        <f t="shared" ca="1" si="29"/>
        <v>#N/A</v>
      </c>
      <c r="AU377" t="e">
        <f t="shared" ca="1" si="30"/>
        <v>#N/A</v>
      </c>
      <c r="AV377" t="e">
        <f t="shared" ca="1" si="30"/>
        <v>#N/A</v>
      </c>
      <c r="AW377" t="e">
        <f t="shared" ca="1" si="30"/>
        <v>#N/A</v>
      </c>
      <c r="AX377" t="e">
        <f t="shared" ca="1" si="30"/>
        <v>#N/A</v>
      </c>
      <c r="AY377" t="e">
        <f t="shared" ca="1" si="30"/>
        <v>#N/A</v>
      </c>
      <c r="AZ377" t="e">
        <f t="shared" ca="1" si="30"/>
        <v>#N/A</v>
      </c>
      <c r="BA377" t="e">
        <f t="shared" ca="1" si="30"/>
        <v>#N/A</v>
      </c>
      <c r="BB377" t="e">
        <f t="shared" ca="1" si="30"/>
        <v>#N/A</v>
      </c>
      <c r="BC377" t="e">
        <f t="shared" ca="1" si="30"/>
        <v>#N/A</v>
      </c>
      <c r="BD377" t="e">
        <f t="shared" ca="1" si="30"/>
        <v>#N/A</v>
      </c>
      <c r="BE377" t="e">
        <f t="shared" ca="1" si="31"/>
        <v>#N/A</v>
      </c>
      <c r="BF377" t="e">
        <f t="shared" ca="1" si="31"/>
        <v>#N/A</v>
      </c>
      <c r="BG377" t="e">
        <f t="shared" ca="1" si="31"/>
        <v>#N/A</v>
      </c>
      <c r="BH377">
        <f t="shared" si="31"/>
        <v>0</v>
      </c>
      <c r="BI377">
        <f t="shared" si="31"/>
        <v>0</v>
      </c>
      <c r="BJ377">
        <f t="shared" si="31"/>
        <v>0</v>
      </c>
      <c r="BK377">
        <f t="shared" si="31"/>
        <v>0</v>
      </c>
      <c r="BL377">
        <f t="shared" si="31"/>
        <v>0</v>
      </c>
      <c r="BM377">
        <f t="shared" si="31"/>
        <v>0</v>
      </c>
      <c r="BN377">
        <f t="shared" si="31"/>
        <v>0</v>
      </c>
      <c r="BO377">
        <f t="shared" si="32"/>
        <v>0</v>
      </c>
      <c r="BP377">
        <f t="shared" si="32"/>
        <v>0</v>
      </c>
      <c r="BQ377">
        <f t="shared" si="32"/>
        <v>0</v>
      </c>
      <c r="BR377">
        <f t="shared" si="32"/>
        <v>0</v>
      </c>
      <c r="BS377">
        <f t="shared" si="32"/>
        <v>0</v>
      </c>
      <c r="BT377">
        <f t="shared" si="32"/>
        <v>0</v>
      </c>
      <c r="BU377">
        <f t="shared" si="32"/>
        <v>0</v>
      </c>
      <c r="BV377">
        <f t="shared" si="32"/>
        <v>0</v>
      </c>
      <c r="BW377">
        <f t="shared" si="32"/>
        <v>0</v>
      </c>
      <c r="BX377">
        <f t="shared" si="32"/>
        <v>0</v>
      </c>
      <c r="BY377">
        <f t="shared" si="33"/>
        <v>0</v>
      </c>
      <c r="BZ377">
        <f t="shared" si="33"/>
        <v>0</v>
      </c>
      <c r="CA377">
        <f t="shared" si="33"/>
        <v>0</v>
      </c>
      <c r="CB377">
        <f t="shared" si="33"/>
        <v>0</v>
      </c>
      <c r="CC377">
        <f t="shared" si="33"/>
        <v>0</v>
      </c>
      <c r="CD377">
        <f t="shared" si="33"/>
        <v>0</v>
      </c>
      <c r="CE377">
        <f t="shared" si="33"/>
        <v>0</v>
      </c>
      <c r="CF377">
        <f t="shared" si="33"/>
        <v>0</v>
      </c>
      <c r="CG377">
        <f t="shared" si="33"/>
        <v>0</v>
      </c>
      <c r="CH377">
        <f t="shared" si="33"/>
        <v>0</v>
      </c>
      <c r="CI377">
        <f t="shared" si="34"/>
        <v>0</v>
      </c>
      <c r="CJ377">
        <f t="shared" si="34"/>
        <v>0</v>
      </c>
      <c r="CK377">
        <f t="shared" si="34"/>
        <v>0</v>
      </c>
      <c r="CL377">
        <f t="shared" si="34"/>
        <v>0</v>
      </c>
      <c r="CM377">
        <f t="shared" si="34"/>
        <v>0</v>
      </c>
      <c r="CN377">
        <f t="shared" si="34"/>
        <v>0</v>
      </c>
      <c r="CO377">
        <f t="shared" si="34"/>
        <v>0</v>
      </c>
      <c r="CP377">
        <f t="shared" si="34"/>
        <v>0</v>
      </c>
      <c r="CQ377">
        <f t="shared" si="34"/>
        <v>0</v>
      </c>
      <c r="CR377">
        <f t="shared" si="34"/>
        <v>0</v>
      </c>
      <c r="CS377">
        <f t="shared" si="35"/>
        <v>0</v>
      </c>
      <c r="CT377">
        <f t="shared" si="35"/>
        <v>0</v>
      </c>
      <c r="CU377">
        <f t="shared" si="35"/>
        <v>0</v>
      </c>
      <c r="CV377">
        <f t="shared" si="35"/>
        <v>0</v>
      </c>
      <c r="CW377">
        <f t="shared" si="35"/>
        <v>0</v>
      </c>
      <c r="CX377">
        <f t="shared" si="35"/>
        <v>0</v>
      </c>
      <c r="CY377">
        <f t="shared" si="35"/>
        <v>0</v>
      </c>
      <c r="CZ377">
        <f t="shared" si="35"/>
        <v>0</v>
      </c>
      <c r="DA377">
        <f t="shared" si="35"/>
        <v>0</v>
      </c>
      <c r="DB377">
        <f t="shared" si="35"/>
        <v>0</v>
      </c>
      <c r="DD377" s="8">
        <f t="shared" si="22"/>
        <v>3</v>
      </c>
      <c r="DF377" t="e">
        <f t="shared" ca="1" si="23"/>
        <v>#N/A</v>
      </c>
      <c r="DG377" t="e">
        <f t="shared" ca="1" si="24"/>
        <v>#N/A</v>
      </c>
      <c r="DH377" t="e">
        <f ca="1">SUM($DF$360:DF377)/$DG$359</f>
        <v>#N/A</v>
      </c>
      <c r="DI377" t="e">
        <f t="shared" ca="1" si="25"/>
        <v>#N/A</v>
      </c>
      <c r="DK377">
        <v>18</v>
      </c>
      <c r="DP377" s="1"/>
      <c r="DQ377" s="1"/>
      <c r="DR377" s="1"/>
      <c r="DS377" s="1"/>
      <c r="DT377" s="1"/>
      <c r="DU377" s="1"/>
      <c r="DV377" s="1"/>
      <c r="DW377" s="1"/>
      <c r="DX377" s="1"/>
      <c r="DY377" s="1"/>
      <c r="DZ377" s="1"/>
      <c r="EA377" s="1"/>
    </row>
    <row r="378" spans="7:131" x14ac:dyDescent="0.25">
      <c r="G378" t="e">
        <f t="shared" ca="1" si="26"/>
        <v>#N/A</v>
      </c>
      <c r="H378" t="e">
        <f t="shared" ca="1" si="26"/>
        <v>#N/A</v>
      </c>
      <c r="I378" t="e">
        <f t="shared" ca="1" si="26"/>
        <v>#N/A</v>
      </c>
      <c r="J378" t="e">
        <f t="shared" ca="1" si="26"/>
        <v>#N/A</v>
      </c>
      <c r="K378" t="e">
        <f t="shared" ca="1" si="26"/>
        <v>#N/A</v>
      </c>
      <c r="L378" t="e">
        <f t="shared" ca="1" si="26"/>
        <v>#N/A</v>
      </c>
      <c r="M378" t="e">
        <f t="shared" ca="1" si="26"/>
        <v>#N/A</v>
      </c>
      <c r="N378" t="e">
        <f t="shared" ca="1" si="26"/>
        <v>#N/A</v>
      </c>
      <c r="O378" t="e">
        <f t="shared" ca="1" si="26"/>
        <v>#N/A</v>
      </c>
      <c r="P378" t="e">
        <f t="shared" ca="1" si="26"/>
        <v>#N/A</v>
      </c>
      <c r="Q378" t="e">
        <f t="shared" ca="1" si="27"/>
        <v>#N/A</v>
      </c>
      <c r="R378" t="e">
        <f t="shared" ca="1" si="27"/>
        <v>#N/A</v>
      </c>
      <c r="S378" t="e">
        <f t="shared" ca="1" si="27"/>
        <v>#N/A</v>
      </c>
      <c r="T378" t="e">
        <f t="shared" ca="1" si="27"/>
        <v>#N/A</v>
      </c>
      <c r="U378" t="e">
        <f t="shared" ca="1" si="27"/>
        <v>#N/A</v>
      </c>
      <c r="V378" t="e">
        <f t="shared" ca="1" si="27"/>
        <v>#N/A</v>
      </c>
      <c r="W378" t="e">
        <f t="shared" ca="1" si="27"/>
        <v>#N/A</v>
      </c>
      <c r="X378" t="e">
        <f t="shared" ca="1" si="27"/>
        <v>#N/A</v>
      </c>
      <c r="Y378" t="e">
        <f t="shared" ca="1" si="27"/>
        <v>#N/A</v>
      </c>
      <c r="Z378" t="e">
        <f t="shared" ca="1" si="27"/>
        <v>#N/A</v>
      </c>
      <c r="AA378" t="e">
        <f t="shared" ca="1" si="28"/>
        <v>#N/A</v>
      </c>
      <c r="AB378" t="e">
        <f t="shared" ca="1" si="28"/>
        <v>#N/A</v>
      </c>
      <c r="AC378" t="e">
        <f t="shared" ca="1" si="28"/>
        <v>#N/A</v>
      </c>
      <c r="AD378" t="e">
        <f t="shared" ca="1" si="28"/>
        <v>#N/A</v>
      </c>
      <c r="AE378" t="e">
        <f t="shared" ca="1" si="28"/>
        <v>#N/A</v>
      </c>
      <c r="AF378" t="e">
        <f t="shared" ca="1" si="28"/>
        <v>#N/A</v>
      </c>
      <c r="AG378" t="e">
        <f t="shared" ca="1" si="28"/>
        <v>#N/A</v>
      </c>
      <c r="AH378" t="e">
        <f t="shared" ca="1" si="28"/>
        <v>#N/A</v>
      </c>
      <c r="AI378" t="e">
        <f t="shared" ca="1" si="28"/>
        <v>#N/A</v>
      </c>
      <c r="AJ378" t="e">
        <f t="shared" ca="1" si="28"/>
        <v>#N/A</v>
      </c>
      <c r="AK378" t="e">
        <f t="shared" ca="1" si="29"/>
        <v>#N/A</v>
      </c>
      <c r="AL378" t="e">
        <f t="shared" ca="1" si="29"/>
        <v>#N/A</v>
      </c>
      <c r="AM378" t="e">
        <f t="shared" ca="1" si="29"/>
        <v>#N/A</v>
      </c>
      <c r="AN378" t="e">
        <f t="shared" ca="1" si="29"/>
        <v>#N/A</v>
      </c>
      <c r="AO378" t="e">
        <f t="shared" ca="1" si="29"/>
        <v>#N/A</v>
      </c>
      <c r="AP378" t="e">
        <f t="shared" ca="1" si="29"/>
        <v>#N/A</v>
      </c>
      <c r="AQ378" t="e">
        <f t="shared" ca="1" si="29"/>
        <v>#N/A</v>
      </c>
      <c r="AR378" t="e">
        <f t="shared" ca="1" si="29"/>
        <v>#N/A</v>
      </c>
      <c r="AS378" t="e">
        <f t="shared" ca="1" si="29"/>
        <v>#N/A</v>
      </c>
      <c r="AT378" t="e">
        <f t="shared" ca="1" si="29"/>
        <v>#N/A</v>
      </c>
      <c r="AU378" t="e">
        <f t="shared" ca="1" si="30"/>
        <v>#N/A</v>
      </c>
      <c r="AV378" t="e">
        <f t="shared" ca="1" si="30"/>
        <v>#N/A</v>
      </c>
      <c r="AW378" t="e">
        <f t="shared" ca="1" si="30"/>
        <v>#N/A</v>
      </c>
      <c r="AX378" t="e">
        <f t="shared" ca="1" si="30"/>
        <v>#N/A</v>
      </c>
      <c r="AY378" t="e">
        <f t="shared" ca="1" si="30"/>
        <v>#N/A</v>
      </c>
      <c r="AZ378" t="e">
        <f t="shared" ca="1" si="30"/>
        <v>#N/A</v>
      </c>
      <c r="BA378" t="e">
        <f t="shared" ca="1" si="30"/>
        <v>#N/A</v>
      </c>
      <c r="BB378" t="e">
        <f t="shared" ca="1" si="30"/>
        <v>#N/A</v>
      </c>
      <c r="BC378" t="e">
        <f t="shared" ca="1" si="30"/>
        <v>#N/A</v>
      </c>
      <c r="BD378" t="e">
        <f t="shared" ca="1" si="30"/>
        <v>#N/A</v>
      </c>
      <c r="BE378" t="e">
        <f t="shared" ca="1" si="31"/>
        <v>#N/A</v>
      </c>
      <c r="BF378" t="e">
        <f t="shared" ca="1" si="31"/>
        <v>#N/A</v>
      </c>
      <c r="BG378">
        <f t="shared" si="31"/>
        <v>0</v>
      </c>
      <c r="BH378">
        <f t="shared" si="31"/>
        <v>0</v>
      </c>
      <c r="BI378">
        <f t="shared" si="31"/>
        <v>0</v>
      </c>
      <c r="BJ378">
        <f t="shared" si="31"/>
        <v>0</v>
      </c>
      <c r="BK378">
        <f t="shared" si="31"/>
        <v>0</v>
      </c>
      <c r="BL378">
        <f t="shared" si="31"/>
        <v>0</v>
      </c>
      <c r="BM378">
        <f t="shared" si="31"/>
        <v>0</v>
      </c>
      <c r="BN378">
        <f t="shared" si="31"/>
        <v>0</v>
      </c>
      <c r="BO378">
        <f t="shared" si="32"/>
        <v>0</v>
      </c>
      <c r="BP378">
        <f t="shared" si="32"/>
        <v>0</v>
      </c>
      <c r="BQ378">
        <f t="shared" si="32"/>
        <v>0</v>
      </c>
      <c r="BR378">
        <f t="shared" si="32"/>
        <v>0</v>
      </c>
      <c r="BS378">
        <f t="shared" si="32"/>
        <v>0</v>
      </c>
      <c r="BT378">
        <f t="shared" si="32"/>
        <v>0</v>
      </c>
      <c r="BU378">
        <f t="shared" si="32"/>
        <v>0</v>
      </c>
      <c r="BV378">
        <f t="shared" si="32"/>
        <v>0</v>
      </c>
      <c r="BW378">
        <f t="shared" si="32"/>
        <v>0</v>
      </c>
      <c r="BX378">
        <f t="shared" si="32"/>
        <v>0</v>
      </c>
      <c r="BY378">
        <f t="shared" si="33"/>
        <v>0</v>
      </c>
      <c r="BZ378">
        <f t="shared" si="33"/>
        <v>0</v>
      </c>
      <c r="CA378">
        <f t="shared" si="33"/>
        <v>0</v>
      </c>
      <c r="CB378">
        <f t="shared" si="33"/>
        <v>0</v>
      </c>
      <c r="CC378">
        <f t="shared" si="33"/>
        <v>0</v>
      </c>
      <c r="CD378">
        <f t="shared" si="33"/>
        <v>0</v>
      </c>
      <c r="CE378">
        <f t="shared" si="33"/>
        <v>0</v>
      </c>
      <c r="CF378">
        <f t="shared" si="33"/>
        <v>0</v>
      </c>
      <c r="CG378">
        <f t="shared" si="33"/>
        <v>0</v>
      </c>
      <c r="CH378">
        <f t="shared" si="33"/>
        <v>0</v>
      </c>
      <c r="CI378">
        <f t="shared" si="34"/>
        <v>0</v>
      </c>
      <c r="CJ378">
        <f t="shared" si="34"/>
        <v>0</v>
      </c>
      <c r="CK378">
        <f t="shared" si="34"/>
        <v>0</v>
      </c>
      <c r="CL378">
        <f t="shared" si="34"/>
        <v>0</v>
      </c>
      <c r="CM378">
        <f t="shared" si="34"/>
        <v>0</v>
      </c>
      <c r="CN378">
        <f t="shared" si="34"/>
        <v>0</v>
      </c>
      <c r="CO378">
        <f t="shared" si="34"/>
        <v>0</v>
      </c>
      <c r="CP378">
        <f t="shared" si="34"/>
        <v>0</v>
      </c>
      <c r="CQ378">
        <f t="shared" si="34"/>
        <v>0</v>
      </c>
      <c r="CR378">
        <f t="shared" si="34"/>
        <v>0</v>
      </c>
      <c r="CS378">
        <f t="shared" si="35"/>
        <v>0</v>
      </c>
      <c r="CT378">
        <f t="shared" si="35"/>
        <v>0</v>
      </c>
      <c r="CU378">
        <f t="shared" si="35"/>
        <v>0</v>
      </c>
      <c r="CV378">
        <f t="shared" si="35"/>
        <v>0</v>
      </c>
      <c r="CW378">
        <f t="shared" si="35"/>
        <v>0</v>
      </c>
      <c r="CX378">
        <f t="shared" si="35"/>
        <v>0</v>
      </c>
      <c r="CY378">
        <f t="shared" si="35"/>
        <v>0</v>
      </c>
      <c r="CZ378">
        <f t="shared" si="35"/>
        <v>0</v>
      </c>
      <c r="DA378">
        <f t="shared" si="35"/>
        <v>0</v>
      </c>
      <c r="DB378">
        <f t="shared" si="35"/>
        <v>0</v>
      </c>
      <c r="DD378" s="8">
        <f t="shared" si="22"/>
        <v>2</v>
      </c>
      <c r="DF378" t="e">
        <f t="shared" ca="1" si="23"/>
        <v>#N/A</v>
      </c>
      <c r="DG378" t="e">
        <f t="shared" ca="1" si="24"/>
        <v>#N/A</v>
      </c>
      <c r="DH378" t="e">
        <f ca="1">SUM($DF$360:DF378)/$DG$359</f>
        <v>#N/A</v>
      </c>
      <c r="DI378" t="e">
        <f t="shared" ca="1" si="25"/>
        <v>#N/A</v>
      </c>
      <c r="DK378">
        <v>19</v>
      </c>
      <c r="DP378" s="1"/>
      <c r="DQ378" s="1"/>
      <c r="DR378" s="1"/>
      <c r="DS378" s="1"/>
      <c r="DT378" s="1"/>
      <c r="DU378" s="1"/>
      <c r="DV378" s="1"/>
      <c r="DW378" s="1"/>
      <c r="DX378" s="1"/>
      <c r="DY378" s="1"/>
      <c r="DZ378" s="1"/>
      <c r="EA378" s="1"/>
    </row>
    <row r="379" spans="7:131" x14ac:dyDescent="0.25">
      <c r="G379" t="e">
        <f t="shared" ref="G379:P388" ca="1" si="36">IF(G$1&lt;$DD379,G$358,0)</f>
        <v>#N/A</v>
      </c>
      <c r="H379" t="e">
        <f t="shared" ca="1" si="36"/>
        <v>#N/A</v>
      </c>
      <c r="I379" t="e">
        <f t="shared" ca="1" si="36"/>
        <v>#N/A</v>
      </c>
      <c r="J379" t="e">
        <f t="shared" ca="1" si="36"/>
        <v>#N/A</v>
      </c>
      <c r="K379" t="e">
        <f t="shared" ca="1" si="36"/>
        <v>#N/A</v>
      </c>
      <c r="L379" t="e">
        <f t="shared" ca="1" si="36"/>
        <v>#N/A</v>
      </c>
      <c r="M379" t="e">
        <f t="shared" ca="1" si="36"/>
        <v>#N/A</v>
      </c>
      <c r="N379" t="e">
        <f t="shared" ca="1" si="36"/>
        <v>#N/A</v>
      </c>
      <c r="O379" t="e">
        <f t="shared" ca="1" si="36"/>
        <v>#N/A</v>
      </c>
      <c r="P379" t="e">
        <f t="shared" ca="1" si="36"/>
        <v>#N/A</v>
      </c>
      <c r="Q379" t="e">
        <f t="shared" ref="Q379:Z388" ca="1" si="37">IF(Q$1&lt;$DD379,Q$358,0)</f>
        <v>#N/A</v>
      </c>
      <c r="R379" t="e">
        <f t="shared" ca="1" si="37"/>
        <v>#N/A</v>
      </c>
      <c r="S379" t="e">
        <f t="shared" ca="1" si="37"/>
        <v>#N/A</v>
      </c>
      <c r="T379" t="e">
        <f t="shared" ca="1" si="37"/>
        <v>#N/A</v>
      </c>
      <c r="U379" t="e">
        <f t="shared" ca="1" si="37"/>
        <v>#N/A</v>
      </c>
      <c r="V379" t="e">
        <f t="shared" ca="1" si="37"/>
        <v>#N/A</v>
      </c>
      <c r="W379" t="e">
        <f t="shared" ca="1" si="37"/>
        <v>#N/A</v>
      </c>
      <c r="X379" t="e">
        <f t="shared" ca="1" si="37"/>
        <v>#N/A</v>
      </c>
      <c r="Y379" t="e">
        <f t="shared" ca="1" si="37"/>
        <v>#N/A</v>
      </c>
      <c r="Z379" t="e">
        <f t="shared" ca="1" si="37"/>
        <v>#N/A</v>
      </c>
      <c r="AA379" t="e">
        <f t="shared" ref="AA379:AJ388" ca="1" si="38">IF(AA$1&lt;$DD379,AA$358,0)</f>
        <v>#N/A</v>
      </c>
      <c r="AB379" t="e">
        <f t="shared" ca="1" si="38"/>
        <v>#N/A</v>
      </c>
      <c r="AC379" t="e">
        <f t="shared" ca="1" si="38"/>
        <v>#N/A</v>
      </c>
      <c r="AD379" t="e">
        <f t="shared" ca="1" si="38"/>
        <v>#N/A</v>
      </c>
      <c r="AE379" t="e">
        <f t="shared" ca="1" si="38"/>
        <v>#N/A</v>
      </c>
      <c r="AF379" t="e">
        <f t="shared" ca="1" si="38"/>
        <v>#N/A</v>
      </c>
      <c r="AG379" t="e">
        <f t="shared" ca="1" si="38"/>
        <v>#N/A</v>
      </c>
      <c r="AH379" t="e">
        <f t="shared" ca="1" si="38"/>
        <v>#N/A</v>
      </c>
      <c r="AI379" t="e">
        <f t="shared" ca="1" si="38"/>
        <v>#N/A</v>
      </c>
      <c r="AJ379" t="e">
        <f t="shared" ca="1" si="38"/>
        <v>#N/A</v>
      </c>
      <c r="AK379" t="e">
        <f t="shared" ref="AK379:AT388" ca="1" si="39">IF(AK$1&lt;$DD379,AK$358,0)</f>
        <v>#N/A</v>
      </c>
      <c r="AL379" t="e">
        <f t="shared" ca="1" si="39"/>
        <v>#N/A</v>
      </c>
      <c r="AM379" t="e">
        <f t="shared" ca="1" si="39"/>
        <v>#N/A</v>
      </c>
      <c r="AN379" t="e">
        <f t="shared" ca="1" si="39"/>
        <v>#N/A</v>
      </c>
      <c r="AO379" t="e">
        <f t="shared" ca="1" si="39"/>
        <v>#N/A</v>
      </c>
      <c r="AP379" t="e">
        <f t="shared" ca="1" si="39"/>
        <v>#N/A</v>
      </c>
      <c r="AQ379" t="e">
        <f t="shared" ca="1" si="39"/>
        <v>#N/A</v>
      </c>
      <c r="AR379" t="e">
        <f t="shared" ca="1" si="39"/>
        <v>#N/A</v>
      </c>
      <c r="AS379" t="e">
        <f t="shared" ca="1" si="39"/>
        <v>#N/A</v>
      </c>
      <c r="AT379" t="e">
        <f t="shared" ca="1" si="39"/>
        <v>#N/A</v>
      </c>
      <c r="AU379" t="e">
        <f t="shared" ref="AU379:BD388" ca="1" si="40">IF(AU$1&lt;$DD379,AU$358,0)</f>
        <v>#N/A</v>
      </c>
      <c r="AV379" t="e">
        <f t="shared" ca="1" si="40"/>
        <v>#N/A</v>
      </c>
      <c r="AW379" t="e">
        <f t="shared" ca="1" si="40"/>
        <v>#N/A</v>
      </c>
      <c r="AX379" t="e">
        <f t="shared" ca="1" si="40"/>
        <v>#N/A</v>
      </c>
      <c r="AY379" t="e">
        <f t="shared" ca="1" si="40"/>
        <v>#N/A</v>
      </c>
      <c r="AZ379" t="e">
        <f t="shared" ca="1" si="40"/>
        <v>#N/A</v>
      </c>
      <c r="BA379" t="e">
        <f t="shared" ca="1" si="40"/>
        <v>#N/A</v>
      </c>
      <c r="BB379" t="e">
        <f t="shared" ca="1" si="40"/>
        <v>#N/A</v>
      </c>
      <c r="BC379" t="e">
        <f t="shared" ca="1" si="40"/>
        <v>#N/A</v>
      </c>
      <c r="BD379" t="e">
        <f t="shared" ca="1" si="40"/>
        <v>#N/A</v>
      </c>
      <c r="BE379" t="e">
        <f t="shared" ref="BE379:BN388" ca="1" si="41">IF(BE$1&lt;$DD379,BE$358,0)</f>
        <v>#N/A</v>
      </c>
      <c r="BF379">
        <f t="shared" si="41"/>
        <v>0</v>
      </c>
      <c r="BG379">
        <f t="shared" si="41"/>
        <v>0</v>
      </c>
      <c r="BH379">
        <f t="shared" si="41"/>
        <v>0</v>
      </c>
      <c r="BI379">
        <f t="shared" si="41"/>
        <v>0</v>
      </c>
      <c r="BJ379">
        <f t="shared" si="41"/>
        <v>0</v>
      </c>
      <c r="BK379">
        <f t="shared" si="41"/>
        <v>0</v>
      </c>
      <c r="BL379">
        <f t="shared" si="41"/>
        <v>0</v>
      </c>
      <c r="BM379">
        <f t="shared" si="41"/>
        <v>0</v>
      </c>
      <c r="BN379">
        <f t="shared" si="41"/>
        <v>0</v>
      </c>
      <c r="BO379">
        <f t="shared" ref="BO379:BX388" si="42">IF(BO$1&lt;$DD379,BO$358,0)</f>
        <v>0</v>
      </c>
      <c r="BP379">
        <f t="shared" si="42"/>
        <v>0</v>
      </c>
      <c r="BQ379">
        <f t="shared" si="42"/>
        <v>0</v>
      </c>
      <c r="BR379">
        <f t="shared" si="42"/>
        <v>0</v>
      </c>
      <c r="BS379">
        <f t="shared" si="42"/>
        <v>0</v>
      </c>
      <c r="BT379">
        <f t="shared" si="42"/>
        <v>0</v>
      </c>
      <c r="BU379">
        <f t="shared" si="42"/>
        <v>0</v>
      </c>
      <c r="BV379">
        <f t="shared" si="42"/>
        <v>0</v>
      </c>
      <c r="BW379">
        <f t="shared" si="42"/>
        <v>0</v>
      </c>
      <c r="BX379">
        <f t="shared" si="42"/>
        <v>0</v>
      </c>
      <c r="BY379">
        <f t="shared" ref="BY379:CH388" si="43">IF(BY$1&lt;$DD379,BY$358,0)</f>
        <v>0</v>
      </c>
      <c r="BZ379">
        <f t="shared" si="43"/>
        <v>0</v>
      </c>
      <c r="CA379">
        <f t="shared" si="43"/>
        <v>0</v>
      </c>
      <c r="CB379">
        <f t="shared" si="43"/>
        <v>0</v>
      </c>
      <c r="CC379">
        <f t="shared" si="43"/>
        <v>0</v>
      </c>
      <c r="CD379">
        <f t="shared" si="43"/>
        <v>0</v>
      </c>
      <c r="CE379">
        <f t="shared" si="43"/>
        <v>0</v>
      </c>
      <c r="CF379">
        <f t="shared" si="43"/>
        <v>0</v>
      </c>
      <c r="CG379">
        <f t="shared" si="43"/>
        <v>0</v>
      </c>
      <c r="CH379">
        <f t="shared" si="43"/>
        <v>0</v>
      </c>
      <c r="CI379">
        <f t="shared" ref="CI379:CR388" si="44">IF(CI$1&lt;$DD379,CI$358,0)</f>
        <v>0</v>
      </c>
      <c r="CJ379">
        <f t="shared" si="44"/>
        <v>0</v>
      </c>
      <c r="CK379">
        <f t="shared" si="44"/>
        <v>0</v>
      </c>
      <c r="CL379">
        <f t="shared" si="44"/>
        <v>0</v>
      </c>
      <c r="CM379">
        <f t="shared" si="44"/>
        <v>0</v>
      </c>
      <c r="CN379">
        <f t="shared" si="44"/>
        <v>0</v>
      </c>
      <c r="CO379">
        <f t="shared" si="44"/>
        <v>0</v>
      </c>
      <c r="CP379">
        <f t="shared" si="44"/>
        <v>0</v>
      </c>
      <c r="CQ379">
        <f t="shared" si="44"/>
        <v>0</v>
      </c>
      <c r="CR379">
        <f t="shared" si="44"/>
        <v>0</v>
      </c>
      <c r="CS379">
        <f t="shared" ref="CS379:DB388" si="45">IF(CS$1&lt;$DD379,CS$358,0)</f>
        <v>0</v>
      </c>
      <c r="CT379">
        <f t="shared" si="45"/>
        <v>0</v>
      </c>
      <c r="CU379">
        <f t="shared" si="45"/>
        <v>0</v>
      </c>
      <c r="CV379">
        <f t="shared" si="45"/>
        <v>0</v>
      </c>
      <c r="CW379">
        <f t="shared" si="45"/>
        <v>0</v>
      </c>
      <c r="CX379">
        <f t="shared" si="45"/>
        <v>0</v>
      </c>
      <c r="CY379">
        <f t="shared" si="45"/>
        <v>0</v>
      </c>
      <c r="CZ379">
        <f t="shared" si="45"/>
        <v>0</v>
      </c>
      <c r="DA379">
        <f t="shared" si="45"/>
        <v>0</v>
      </c>
      <c r="DB379">
        <f t="shared" si="45"/>
        <v>0</v>
      </c>
      <c r="DD379" s="8">
        <f t="shared" si="22"/>
        <v>1</v>
      </c>
      <c r="DF379" t="e">
        <f t="shared" ca="1" si="23"/>
        <v>#N/A</v>
      </c>
      <c r="DG379" t="e">
        <f t="shared" ca="1" si="24"/>
        <v>#N/A</v>
      </c>
      <c r="DH379" t="e">
        <f ca="1">SUM($DF$360:DF379)/$DG$359</f>
        <v>#N/A</v>
      </c>
      <c r="DI379" t="e">
        <f t="shared" ca="1" si="25"/>
        <v>#N/A</v>
      </c>
      <c r="DK379">
        <v>20</v>
      </c>
      <c r="DP379" s="1"/>
      <c r="DQ379" s="1"/>
      <c r="DR379" s="1"/>
      <c r="DS379" s="1"/>
      <c r="DT379" s="1"/>
      <c r="DU379" s="1"/>
      <c r="DV379" s="1"/>
      <c r="DW379" s="1"/>
      <c r="DX379" s="1"/>
      <c r="DY379" s="1"/>
      <c r="DZ379" s="1"/>
      <c r="EA379" s="1"/>
    </row>
    <row r="380" spans="7:131" x14ac:dyDescent="0.25">
      <c r="G380" t="e">
        <f t="shared" ca="1" si="36"/>
        <v>#N/A</v>
      </c>
      <c r="H380" t="e">
        <f t="shared" ca="1" si="36"/>
        <v>#N/A</v>
      </c>
      <c r="I380" t="e">
        <f t="shared" ca="1" si="36"/>
        <v>#N/A</v>
      </c>
      <c r="J380" t="e">
        <f t="shared" ca="1" si="36"/>
        <v>#N/A</v>
      </c>
      <c r="K380" t="e">
        <f t="shared" ca="1" si="36"/>
        <v>#N/A</v>
      </c>
      <c r="L380" t="e">
        <f t="shared" ca="1" si="36"/>
        <v>#N/A</v>
      </c>
      <c r="M380" t="e">
        <f t="shared" ca="1" si="36"/>
        <v>#N/A</v>
      </c>
      <c r="N380" t="e">
        <f t="shared" ca="1" si="36"/>
        <v>#N/A</v>
      </c>
      <c r="O380" t="e">
        <f t="shared" ca="1" si="36"/>
        <v>#N/A</v>
      </c>
      <c r="P380" t="e">
        <f t="shared" ca="1" si="36"/>
        <v>#N/A</v>
      </c>
      <c r="Q380" t="e">
        <f t="shared" ca="1" si="37"/>
        <v>#N/A</v>
      </c>
      <c r="R380" t="e">
        <f t="shared" ca="1" si="37"/>
        <v>#N/A</v>
      </c>
      <c r="S380" t="e">
        <f t="shared" ca="1" si="37"/>
        <v>#N/A</v>
      </c>
      <c r="T380" t="e">
        <f t="shared" ca="1" si="37"/>
        <v>#N/A</v>
      </c>
      <c r="U380" t="e">
        <f t="shared" ca="1" si="37"/>
        <v>#N/A</v>
      </c>
      <c r="V380" t="e">
        <f t="shared" ca="1" si="37"/>
        <v>#N/A</v>
      </c>
      <c r="W380" t="e">
        <f t="shared" ca="1" si="37"/>
        <v>#N/A</v>
      </c>
      <c r="X380" t="e">
        <f t="shared" ca="1" si="37"/>
        <v>#N/A</v>
      </c>
      <c r="Y380" t="e">
        <f t="shared" ca="1" si="37"/>
        <v>#N/A</v>
      </c>
      <c r="Z380" t="e">
        <f t="shared" ca="1" si="37"/>
        <v>#N/A</v>
      </c>
      <c r="AA380" t="e">
        <f t="shared" ca="1" si="38"/>
        <v>#N/A</v>
      </c>
      <c r="AB380" t="e">
        <f t="shared" ca="1" si="38"/>
        <v>#N/A</v>
      </c>
      <c r="AC380" t="e">
        <f t="shared" ca="1" si="38"/>
        <v>#N/A</v>
      </c>
      <c r="AD380" t="e">
        <f t="shared" ca="1" si="38"/>
        <v>#N/A</v>
      </c>
      <c r="AE380" t="e">
        <f t="shared" ca="1" si="38"/>
        <v>#N/A</v>
      </c>
      <c r="AF380" t="e">
        <f t="shared" ca="1" si="38"/>
        <v>#N/A</v>
      </c>
      <c r="AG380" t="e">
        <f t="shared" ca="1" si="38"/>
        <v>#N/A</v>
      </c>
      <c r="AH380" t="e">
        <f t="shared" ca="1" si="38"/>
        <v>#N/A</v>
      </c>
      <c r="AI380" t="e">
        <f t="shared" ca="1" si="38"/>
        <v>#N/A</v>
      </c>
      <c r="AJ380" t="e">
        <f t="shared" ca="1" si="38"/>
        <v>#N/A</v>
      </c>
      <c r="AK380" t="e">
        <f t="shared" ca="1" si="39"/>
        <v>#N/A</v>
      </c>
      <c r="AL380" t="e">
        <f t="shared" ca="1" si="39"/>
        <v>#N/A</v>
      </c>
      <c r="AM380" t="e">
        <f t="shared" ca="1" si="39"/>
        <v>#N/A</v>
      </c>
      <c r="AN380" t="e">
        <f t="shared" ca="1" si="39"/>
        <v>#N/A</v>
      </c>
      <c r="AO380" t="e">
        <f t="shared" ca="1" si="39"/>
        <v>#N/A</v>
      </c>
      <c r="AP380" t="e">
        <f t="shared" ca="1" si="39"/>
        <v>#N/A</v>
      </c>
      <c r="AQ380" t="e">
        <f t="shared" ca="1" si="39"/>
        <v>#N/A</v>
      </c>
      <c r="AR380" t="e">
        <f t="shared" ca="1" si="39"/>
        <v>#N/A</v>
      </c>
      <c r="AS380" t="e">
        <f t="shared" ca="1" si="39"/>
        <v>#N/A</v>
      </c>
      <c r="AT380" t="e">
        <f t="shared" ca="1" si="39"/>
        <v>#N/A</v>
      </c>
      <c r="AU380" t="e">
        <f t="shared" ca="1" si="40"/>
        <v>#N/A</v>
      </c>
      <c r="AV380" t="e">
        <f t="shared" ca="1" si="40"/>
        <v>#N/A</v>
      </c>
      <c r="AW380" t="e">
        <f t="shared" ca="1" si="40"/>
        <v>#N/A</v>
      </c>
      <c r="AX380" t="e">
        <f t="shared" ca="1" si="40"/>
        <v>#N/A</v>
      </c>
      <c r="AY380" t="e">
        <f t="shared" ca="1" si="40"/>
        <v>#N/A</v>
      </c>
      <c r="AZ380" t="e">
        <f t="shared" ca="1" si="40"/>
        <v>#N/A</v>
      </c>
      <c r="BA380" t="e">
        <f t="shared" ca="1" si="40"/>
        <v>#N/A</v>
      </c>
      <c r="BB380" t="e">
        <f t="shared" ca="1" si="40"/>
        <v>#N/A</v>
      </c>
      <c r="BC380" t="e">
        <f t="shared" ca="1" si="40"/>
        <v>#N/A</v>
      </c>
      <c r="BD380" t="e">
        <f t="shared" ca="1" si="40"/>
        <v>#N/A</v>
      </c>
      <c r="BE380">
        <f t="shared" si="41"/>
        <v>0</v>
      </c>
      <c r="BF380">
        <f t="shared" si="41"/>
        <v>0</v>
      </c>
      <c r="BG380">
        <f t="shared" si="41"/>
        <v>0</v>
      </c>
      <c r="BH380">
        <f t="shared" si="41"/>
        <v>0</v>
      </c>
      <c r="BI380">
        <f t="shared" si="41"/>
        <v>0</v>
      </c>
      <c r="BJ380">
        <f t="shared" si="41"/>
        <v>0</v>
      </c>
      <c r="BK380">
        <f t="shared" si="41"/>
        <v>0</v>
      </c>
      <c r="BL380">
        <f t="shared" si="41"/>
        <v>0</v>
      </c>
      <c r="BM380">
        <f t="shared" si="41"/>
        <v>0</v>
      </c>
      <c r="BN380">
        <f t="shared" si="41"/>
        <v>0</v>
      </c>
      <c r="BO380">
        <f t="shared" si="42"/>
        <v>0</v>
      </c>
      <c r="BP380">
        <f t="shared" si="42"/>
        <v>0</v>
      </c>
      <c r="BQ380">
        <f t="shared" si="42"/>
        <v>0</v>
      </c>
      <c r="BR380">
        <f t="shared" si="42"/>
        <v>0</v>
      </c>
      <c r="BS380">
        <f t="shared" si="42"/>
        <v>0</v>
      </c>
      <c r="BT380">
        <f t="shared" si="42"/>
        <v>0</v>
      </c>
      <c r="BU380">
        <f t="shared" si="42"/>
        <v>0</v>
      </c>
      <c r="BV380">
        <f t="shared" si="42"/>
        <v>0</v>
      </c>
      <c r="BW380">
        <f t="shared" si="42"/>
        <v>0</v>
      </c>
      <c r="BX380">
        <f t="shared" si="42"/>
        <v>0</v>
      </c>
      <c r="BY380">
        <f t="shared" si="43"/>
        <v>0</v>
      </c>
      <c r="BZ380">
        <f t="shared" si="43"/>
        <v>0</v>
      </c>
      <c r="CA380">
        <f t="shared" si="43"/>
        <v>0</v>
      </c>
      <c r="CB380">
        <f t="shared" si="43"/>
        <v>0</v>
      </c>
      <c r="CC380">
        <f t="shared" si="43"/>
        <v>0</v>
      </c>
      <c r="CD380">
        <f t="shared" si="43"/>
        <v>0</v>
      </c>
      <c r="CE380">
        <f t="shared" si="43"/>
        <v>0</v>
      </c>
      <c r="CF380">
        <f t="shared" si="43"/>
        <v>0</v>
      </c>
      <c r="CG380">
        <f t="shared" si="43"/>
        <v>0</v>
      </c>
      <c r="CH380">
        <f t="shared" si="43"/>
        <v>0</v>
      </c>
      <c r="CI380">
        <f t="shared" si="44"/>
        <v>0</v>
      </c>
      <c r="CJ380">
        <f t="shared" si="44"/>
        <v>0</v>
      </c>
      <c r="CK380">
        <f t="shared" si="44"/>
        <v>0</v>
      </c>
      <c r="CL380">
        <f t="shared" si="44"/>
        <v>0</v>
      </c>
      <c r="CM380">
        <f t="shared" si="44"/>
        <v>0</v>
      </c>
      <c r="CN380">
        <f t="shared" si="44"/>
        <v>0</v>
      </c>
      <c r="CO380">
        <f t="shared" si="44"/>
        <v>0</v>
      </c>
      <c r="CP380">
        <f t="shared" si="44"/>
        <v>0</v>
      </c>
      <c r="CQ380">
        <f t="shared" si="44"/>
        <v>0</v>
      </c>
      <c r="CR380">
        <f t="shared" si="44"/>
        <v>0</v>
      </c>
      <c r="CS380">
        <f t="shared" si="45"/>
        <v>0</v>
      </c>
      <c r="CT380">
        <f t="shared" si="45"/>
        <v>0</v>
      </c>
      <c r="CU380">
        <f t="shared" si="45"/>
        <v>0</v>
      </c>
      <c r="CV380">
        <f t="shared" si="45"/>
        <v>0</v>
      </c>
      <c r="CW380">
        <f t="shared" si="45"/>
        <v>0</v>
      </c>
      <c r="CX380">
        <f t="shared" si="45"/>
        <v>0</v>
      </c>
      <c r="CY380">
        <f t="shared" si="45"/>
        <v>0</v>
      </c>
      <c r="CZ380">
        <f t="shared" si="45"/>
        <v>0</v>
      </c>
      <c r="DA380">
        <f t="shared" si="45"/>
        <v>0</v>
      </c>
      <c r="DB380">
        <f t="shared" si="45"/>
        <v>0</v>
      </c>
      <c r="DD380" s="8">
        <f t="shared" si="22"/>
        <v>0</v>
      </c>
      <c r="DF380" t="e">
        <f t="shared" ca="1" si="23"/>
        <v>#N/A</v>
      </c>
      <c r="DG380" t="e">
        <f t="shared" ca="1" si="24"/>
        <v>#N/A</v>
      </c>
      <c r="DH380" t="e">
        <f ca="1">SUM($DF$360:DF380)/$DG$359</f>
        <v>#N/A</v>
      </c>
      <c r="DI380" t="e">
        <f t="shared" ca="1" si="25"/>
        <v>#N/A</v>
      </c>
      <c r="DK380">
        <v>21</v>
      </c>
      <c r="DP380" s="1"/>
      <c r="DQ380" s="1"/>
      <c r="DR380" s="1"/>
      <c r="DS380" s="1"/>
      <c r="DT380" s="1"/>
      <c r="DU380" s="1"/>
      <c r="DV380" s="1"/>
      <c r="DW380" s="1"/>
      <c r="DX380" s="1"/>
      <c r="DY380" s="1"/>
      <c r="DZ380" s="1"/>
      <c r="EA380" s="1"/>
    </row>
    <row r="381" spans="7:131" x14ac:dyDescent="0.25">
      <c r="G381" t="e">
        <f t="shared" ca="1" si="36"/>
        <v>#N/A</v>
      </c>
      <c r="H381" t="e">
        <f t="shared" ca="1" si="36"/>
        <v>#N/A</v>
      </c>
      <c r="I381" t="e">
        <f t="shared" ca="1" si="36"/>
        <v>#N/A</v>
      </c>
      <c r="J381" t="e">
        <f t="shared" ca="1" si="36"/>
        <v>#N/A</v>
      </c>
      <c r="K381" t="e">
        <f t="shared" ca="1" si="36"/>
        <v>#N/A</v>
      </c>
      <c r="L381" t="e">
        <f t="shared" ca="1" si="36"/>
        <v>#N/A</v>
      </c>
      <c r="M381" t="e">
        <f t="shared" ca="1" si="36"/>
        <v>#N/A</v>
      </c>
      <c r="N381" t="e">
        <f t="shared" ca="1" si="36"/>
        <v>#N/A</v>
      </c>
      <c r="O381" t="e">
        <f t="shared" ca="1" si="36"/>
        <v>#N/A</v>
      </c>
      <c r="P381" t="e">
        <f t="shared" ca="1" si="36"/>
        <v>#N/A</v>
      </c>
      <c r="Q381" t="e">
        <f t="shared" ca="1" si="37"/>
        <v>#N/A</v>
      </c>
      <c r="R381" t="e">
        <f t="shared" ca="1" si="37"/>
        <v>#N/A</v>
      </c>
      <c r="S381" t="e">
        <f t="shared" ca="1" si="37"/>
        <v>#N/A</v>
      </c>
      <c r="T381" t="e">
        <f t="shared" ca="1" si="37"/>
        <v>#N/A</v>
      </c>
      <c r="U381" t="e">
        <f t="shared" ca="1" si="37"/>
        <v>#N/A</v>
      </c>
      <c r="V381" t="e">
        <f t="shared" ca="1" si="37"/>
        <v>#N/A</v>
      </c>
      <c r="W381" t="e">
        <f t="shared" ca="1" si="37"/>
        <v>#N/A</v>
      </c>
      <c r="X381" t="e">
        <f t="shared" ca="1" si="37"/>
        <v>#N/A</v>
      </c>
      <c r="Y381" t="e">
        <f t="shared" ca="1" si="37"/>
        <v>#N/A</v>
      </c>
      <c r="Z381" t="e">
        <f t="shared" ca="1" si="37"/>
        <v>#N/A</v>
      </c>
      <c r="AA381" t="e">
        <f t="shared" ca="1" si="38"/>
        <v>#N/A</v>
      </c>
      <c r="AB381" t="e">
        <f t="shared" ca="1" si="38"/>
        <v>#N/A</v>
      </c>
      <c r="AC381" t="e">
        <f t="shared" ca="1" si="38"/>
        <v>#N/A</v>
      </c>
      <c r="AD381" t="e">
        <f t="shared" ca="1" si="38"/>
        <v>#N/A</v>
      </c>
      <c r="AE381" t="e">
        <f t="shared" ca="1" si="38"/>
        <v>#N/A</v>
      </c>
      <c r="AF381" t="e">
        <f t="shared" ca="1" si="38"/>
        <v>#N/A</v>
      </c>
      <c r="AG381" t="e">
        <f t="shared" ca="1" si="38"/>
        <v>#N/A</v>
      </c>
      <c r="AH381" t="e">
        <f t="shared" ca="1" si="38"/>
        <v>#N/A</v>
      </c>
      <c r="AI381" t="e">
        <f t="shared" ca="1" si="38"/>
        <v>#N/A</v>
      </c>
      <c r="AJ381" t="e">
        <f t="shared" ca="1" si="38"/>
        <v>#N/A</v>
      </c>
      <c r="AK381" t="e">
        <f t="shared" ca="1" si="39"/>
        <v>#N/A</v>
      </c>
      <c r="AL381" t="e">
        <f t="shared" ca="1" si="39"/>
        <v>#N/A</v>
      </c>
      <c r="AM381" t="e">
        <f t="shared" ca="1" si="39"/>
        <v>#N/A</v>
      </c>
      <c r="AN381" t="e">
        <f t="shared" ca="1" si="39"/>
        <v>#N/A</v>
      </c>
      <c r="AO381" t="e">
        <f t="shared" ca="1" si="39"/>
        <v>#N/A</v>
      </c>
      <c r="AP381" t="e">
        <f t="shared" ca="1" si="39"/>
        <v>#N/A</v>
      </c>
      <c r="AQ381" t="e">
        <f t="shared" ca="1" si="39"/>
        <v>#N/A</v>
      </c>
      <c r="AR381" t="e">
        <f t="shared" ca="1" si="39"/>
        <v>#N/A</v>
      </c>
      <c r="AS381" t="e">
        <f t="shared" ca="1" si="39"/>
        <v>#N/A</v>
      </c>
      <c r="AT381" t="e">
        <f t="shared" ca="1" si="39"/>
        <v>#N/A</v>
      </c>
      <c r="AU381" t="e">
        <f t="shared" ca="1" si="40"/>
        <v>#N/A</v>
      </c>
      <c r="AV381" t="e">
        <f t="shared" ca="1" si="40"/>
        <v>#N/A</v>
      </c>
      <c r="AW381" t="e">
        <f t="shared" ca="1" si="40"/>
        <v>#N/A</v>
      </c>
      <c r="AX381" t="e">
        <f t="shared" ca="1" si="40"/>
        <v>#N/A</v>
      </c>
      <c r="AY381" t="e">
        <f t="shared" ca="1" si="40"/>
        <v>#N/A</v>
      </c>
      <c r="AZ381" t="e">
        <f t="shared" ca="1" si="40"/>
        <v>#N/A</v>
      </c>
      <c r="BA381" t="e">
        <f t="shared" ca="1" si="40"/>
        <v>#N/A</v>
      </c>
      <c r="BB381" t="e">
        <f t="shared" ca="1" si="40"/>
        <v>#N/A</v>
      </c>
      <c r="BC381" t="e">
        <f t="shared" ca="1" si="40"/>
        <v>#N/A</v>
      </c>
      <c r="BD381">
        <f t="shared" si="40"/>
        <v>0</v>
      </c>
      <c r="BE381">
        <f t="shared" si="41"/>
        <v>0</v>
      </c>
      <c r="BF381">
        <f t="shared" si="41"/>
        <v>0</v>
      </c>
      <c r="BG381">
        <f t="shared" si="41"/>
        <v>0</v>
      </c>
      <c r="BH381">
        <f t="shared" si="41"/>
        <v>0</v>
      </c>
      <c r="BI381">
        <f t="shared" si="41"/>
        <v>0</v>
      </c>
      <c r="BJ381">
        <f t="shared" si="41"/>
        <v>0</v>
      </c>
      <c r="BK381">
        <f t="shared" si="41"/>
        <v>0</v>
      </c>
      <c r="BL381">
        <f t="shared" si="41"/>
        <v>0</v>
      </c>
      <c r="BM381">
        <f t="shared" si="41"/>
        <v>0</v>
      </c>
      <c r="BN381">
        <f t="shared" si="41"/>
        <v>0</v>
      </c>
      <c r="BO381">
        <f t="shared" si="42"/>
        <v>0</v>
      </c>
      <c r="BP381">
        <f t="shared" si="42"/>
        <v>0</v>
      </c>
      <c r="BQ381">
        <f t="shared" si="42"/>
        <v>0</v>
      </c>
      <c r="BR381">
        <f t="shared" si="42"/>
        <v>0</v>
      </c>
      <c r="BS381">
        <f t="shared" si="42"/>
        <v>0</v>
      </c>
      <c r="BT381">
        <f t="shared" si="42"/>
        <v>0</v>
      </c>
      <c r="BU381">
        <f t="shared" si="42"/>
        <v>0</v>
      </c>
      <c r="BV381">
        <f t="shared" si="42"/>
        <v>0</v>
      </c>
      <c r="BW381">
        <f t="shared" si="42"/>
        <v>0</v>
      </c>
      <c r="BX381">
        <f t="shared" si="42"/>
        <v>0</v>
      </c>
      <c r="BY381">
        <f t="shared" si="43"/>
        <v>0</v>
      </c>
      <c r="BZ381">
        <f t="shared" si="43"/>
        <v>0</v>
      </c>
      <c r="CA381">
        <f t="shared" si="43"/>
        <v>0</v>
      </c>
      <c r="CB381">
        <f t="shared" si="43"/>
        <v>0</v>
      </c>
      <c r="CC381">
        <f t="shared" si="43"/>
        <v>0</v>
      </c>
      <c r="CD381">
        <f t="shared" si="43"/>
        <v>0</v>
      </c>
      <c r="CE381">
        <f t="shared" si="43"/>
        <v>0</v>
      </c>
      <c r="CF381">
        <f t="shared" si="43"/>
        <v>0</v>
      </c>
      <c r="CG381">
        <f t="shared" si="43"/>
        <v>0</v>
      </c>
      <c r="CH381">
        <f t="shared" si="43"/>
        <v>0</v>
      </c>
      <c r="CI381">
        <f t="shared" si="44"/>
        <v>0</v>
      </c>
      <c r="CJ381">
        <f t="shared" si="44"/>
        <v>0</v>
      </c>
      <c r="CK381">
        <f t="shared" si="44"/>
        <v>0</v>
      </c>
      <c r="CL381">
        <f t="shared" si="44"/>
        <v>0</v>
      </c>
      <c r="CM381">
        <f t="shared" si="44"/>
        <v>0</v>
      </c>
      <c r="CN381">
        <f t="shared" si="44"/>
        <v>0</v>
      </c>
      <c r="CO381">
        <f t="shared" si="44"/>
        <v>0</v>
      </c>
      <c r="CP381">
        <f t="shared" si="44"/>
        <v>0</v>
      </c>
      <c r="CQ381">
        <f t="shared" si="44"/>
        <v>0</v>
      </c>
      <c r="CR381">
        <f t="shared" si="44"/>
        <v>0</v>
      </c>
      <c r="CS381">
        <f t="shared" si="45"/>
        <v>0</v>
      </c>
      <c r="CT381">
        <f t="shared" si="45"/>
        <v>0</v>
      </c>
      <c r="CU381">
        <f t="shared" si="45"/>
        <v>0</v>
      </c>
      <c r="CV381">
        <f t="shared" si="45"/>
        <v>0</v>
      </c>
      <c r="CW381">
        <f t="shared" si="45"/>
        <v>0</v>
      </c>
      <c r="CX381">
        <f t="shared" si="45"/>
        <v>0</v>
      </c>
      <c r="CY381">
        <f t="shared" si="45"/>
        <v>0</v>
      </c>
      <c r="CZ381">
        <f t="shared" si="45"/>
        <v>0</v>
      </c>
      <c r="DA381">
        <f t="shared" si="45"/>
        <v>0</v>
      </c>
      <c r="DB381">
        <f t="shared" si="45"/>
        <v>0</v>
      </c>
      <c r="DD381" s="8">
        <f t="shared" si="22"/>
        <v>-1</v>
      </c>
      <c r="DF381" t="e">
        <f t="shared" ca="1" si="23"/>
        <v>#N/A</v>
      </c>
      <c r="DG381" t="e">
        <f t="shared" ca="1" si="24"/>
        <v>#N/A</v>
      </c>
      <c r="DH381" t="e">
        <f ca="1">SUM($DF$360:DF381)/$DG$359</f>
        <v>#N/A</v>
      </c>
      <c r="DI381" t="e">
        <f t="shared" ca="1" si="25"/>
        <v>#N/A</v>
      </c>
      <c r="DK381">
        <v>22</v>
      </c>
      <c r="DP381" s="1"/>
      <c r="DQ381" s="1"/>
      <c r="DR381" s="1"/>
      <c r="DS381" s="1"/>
      <c r="DT381" s="1"/>
      <c r="DU381" s="1"/>
      <c r="DV381" s="1"/>
      <c r="DW381" s="1"/>
      <c r="DX381" s="1"/>
      <c r="DY381" s="1"/>
      <c r="DZ381" s="1"/>
      <c r="EA381" s="1"/>
    </row>
    <row r="382" spans="7:131" x14ac:dyDescent="0.25">
      <c r="G382" t="e">
        <f t="shared" ca="1" si="36"/>
        <v>#N/A</v>
      </c>
      <c r="H382" t="e">
        <f t="shared" ca="1" si="36"/>
        <v>#N/A</v>
      </c>
      <c r="I382" t="e">
        <f t="shared" ca="1" si="36"/>
        <v>#N/A</v>
      </c>
      <c r="J382" t="e">
        <f t="shared" ca="1" si="36"/>
        <v>#N/A</v>
      </c>
      <c r="K382" t="e">
        <f t="shared" ca="1" si="36"/>
        <v>#N/A</v>
      </c>
      <c r="L382" t="e">
        <f t="shared" ca="1" si="36"/>
        <v>#N/A</v>
      </c>
      <c r="M382" t="e">
        <f t="shared" ca="1" si="36"/>
        <v>#N/A</v>
      </c>
      <c r="N382" t="e">
        <f t="shared" ca="1" si="36"/>
        <v>#N/A</v>
      </c>
      <c r="O382" t="e">
        <f t="shared" ca="1" si="36"/>
        <v>#N/A</v>
      </c>
      <c r="P382" t="e">
        <f t="shared" ca="1" si="36"/>
        <v>#N/A</v>
      </c>
      <c r="Q382" t="e">
        <f t="shared" ca="1" si="37"/>
        <v>#N/A</v>
      </c>
      <c r="R382" t="e">
        <f t="shared" ca="1" si="37"/>
        <v>#N/A</v>
      </c>
      <c r="S382" t="e">
        <f t="shared" ca="1" si="37"/>
        <v>#N/A</v>
      </c>
      <c r="T382" t="e">
        <f t="shared" ca="1" si="37"/>
        <v>#N/A</v>
      </c>
      <c r="U382" t="e">
        <f t="shared" ca="1" si="37"/>
        <v>#N/A</v>
      </c>
      <c r="V382" t="e">
        <f t="shared" ca="1" si="37"/>
        <v>#N/A</v>
      </c>
      <c r="W382" t="e">
        <f t="shared" ca="1" si="37"/>
        <v>#N/A</v>
      </c>
      <c r="X382" t="e">
        <f t="shared" ca="1" si="37"/>
        <v>#N/A</v>
      </c>
      <c r="Y382" t="e">
        <f t="shared" ca="1" si="37"/>
        <v>#N/A</v>
      </c>
      <c r="Z382" t="e">
        <f t="shared" ca="1" si="37"/>
        <v>#N/A</v>
      </c>
      <c r="AA382" t="e">
        <f t="shared" ca="1" si="38"/>
        <v>#N/A</v>
      </c>
      <c r="AB382" t="e">
        <f t="shared" ca="1" si="38"/>
        <v>#N/A</v>
      </c>
      <c r="AC382" t="e">
        <f t="shared" ca="1" si="38"/>
        <v>#N/A</v>
      </c>
      <c r="AD382" t="e">
        <f t="shared" ca="1" si="38"/>
        <v>#N/A</v>
      </c>
      <c r="AE382" t="e">
        <f t="shared" ca="1" si="38"/>
        <v>#N/A</v>
      </c>
      <c r="AF382" t="e">
        <f t="shared" ca="1" si="38"/>
        <v>#N/A</v>
      </c>
      <c r="AG382" t="e">
        <f t="shared" ca="1" si="38"/>
        <v>#N/A</v>
      </c>
      <c r="AH382" t="e">
        <f t="shared" ca="1" si="38"/>
        <v>#N/A</v>
      </c>
      <c r="AI382" t="e">
        <f t="shared" ca="1" si="38"/>
        <v>#N/A</v>
      </c>
      <c r="AJ382" t="e">
        <f t="shared" ca="1" si="38"/>
        <v>#N/A</v>
      </c>
      <c r="AK382" t="e">
        <f t="shared" ca="1" si="39"/>
        <v>#N/A</v>
      </c>
      <c r="AL382" t="e">
        <f t="shared" ca="1" si="39"/>
        <v>#N/A</v>
      </c>
      <c r="AM382" t="e">
        <f t="shared" ca="1" si="39"/>
        <v>#N/A</v>
      </c>
      <c r="AN382" t="e">
        <f t="shared" ca="1" si="39"/>
        <v>#N/A</v>
      </c>
      <c r="AO382" t="e">
        <f t="shared" ca="1" si="39"/>
        <v>#N/A</v>
      </c>
      <c r="AP382" t="e">
        <f t="shared" ca="1" si="39"/>
        <v>#N/A</v>
      </c>
      <c r="AQ382" t="e">
        <f t="shared" ca="1" si="39"/>
        <v>#N/A</v>
      </c>
      <c r="AR382" t="e">
        <f t="shared" ca="1" si="39"/>
        <v>#N/A</v>
      </c>
      <c r="AS382" t="e">
        <f t="shared" ca="1" si="39"/>
        <v>#N/A</v>
      </c>
      <c r="AT382" t="e">
        <f t="shared" ca="1" si="39"/>
        <v>#N/A</v>
      </c>
      <c r="AU382" t="e">
        <f t="shared" ca="1" si="40"/>
        <v>#N/A</v>
      </c>
      <c r="AV382" t="e">
        <f t="shared" ca="1" si="40"/>
        <v>#N/A</v>
      </c>
      <c r="AW382" t="e">
        <f t="shared" ca="1" si="40"/>
        <v>#N/A</v>
      </c>
      <c r="AX382" t="e">
        <f t="shared" ca="1" si="40"/>
        <v>#N/A</v>
      </c>
      <c r="AY382" t="e">
        <f t="shared" ca="1" si="40"/>
        <v>#N/A</v>
      </c>
      <c r="AZ382" t="e">
        <f t="shared" ca="1" si="40"/>
        <v>#N/A</v>
      </c>
      <c r="BA382" t="e">
        <f t="shared" ca="1" si="40"/>
        <v>#N/A</v>
      </c>
      <c r="BB382" t="e">
        <f t="shared" ca="1" si="40"/>
        <v>#N/A</v>
      </c>
      <c r="BC382">
        <f t="shared" si="40"/>
        <v>0</v>
      </c>
      <c r="BD382">
        <f t="shared" si="40"/>
        <v>0</v>
      </c>
      <c r="BE382">
        <f t="shared" si="41"/>
        <v>0</v>
      </c>
      <c r="BF382">
        <f t="shared" si="41"/>
        <v>0</v>
      </c>
      <c r="BG382">
        <f t="shared" si="41"/>
        <v>0</v>
      </c>
      <c r="BH382">
        <f t="shared" si="41"/>
        <v>0</v>
      </c>
      <c r="BI382">
        <f t="shared" si="41"/>
        <v>0</v>
      </c>
      <c r="BJ382">
        <f t="shared" si="41"/>
        <v>0</v>
      </c>
      <c r="BK382">
        <f t="shared" si="41"/>
        <v>0</v>
      </c>
      <c r="BL382">
        <f t="shared" si="41"/>
        <v>0</v>
      </c>
      <c r="BM382">
        <f t="shared" si="41"/>
        <v>0</v>
      </c>
      <c r="BN382">
        <f t="shared" si="41"/>
        <v>0</v>
      </c>
      <c r="BO382">
        <f t="shared" si="42"/>
        <v>0</v>
      </c>
      <c r="BP382">
        <f t="shared" si="42"/>
        <v>0</v>
      </c>
      <c r="BQ382">
        <f t="shared" si="42"/>
        <v>0</v>
      </c>
      <c r="BR382">
        <f t="shared" si="42"/>
        <v>0</v>
      </c>
      <c r="BS382">
        <f t="shared" si="42"/>
        <v>0</v>
      </c>
      <c r="BT382">
        <f t="shared" si="42"/>
        <v>0</v>
      </c>
      <c r="BU382">
        <f t="shared" si="42"/>
        <v>0</v>
      </c>
      <c r="BV382">
        <f t="shared" si="42"/>
        <v>0</v>
      </c>
      <c r="BW382">
        <f t="shared" si="42"/>
        <v>0</v>
      </c>
      <c r="BX382">
        <f t="shared" si="42"/>
        <v>0</v>
      </c>
      <c r="BY382">
        <f t="shared" si="43"/>
        <v>0</v>
      </c>
      <c r="BZ382">
        <f t="shared" si="43"/>
        <v>0</v>
      </c>
      <c r="CA382">
        <f t="shared" si="43"/>
        <v>0</v>
      </c>
      <c r="CB382">
        <f t="shared" si="43"/>
        <v>0</v>
      </c>
      <c r="CC382">
        <f t="shared" si="43"/>
        <v>0</v>
      </c>
      <c r="CD382">
        <f t="shared" si="43"/>
        <v>0</v>
      </c>
      <c r="CE382">
        <f t="shared" si="43"/>
        <v>0</v>
      </c>
      <c r="CF382">
        <f t="shared" si="43"/>
        <v>0</v>
      </c>
      <c r="CG382">
        <f t="shared" si="43"/>
        <v>0</v>
      </c>
      <c r="CH382">
        <f t="shared" si="43"/>
        <v>0</v>
      </c>
      <c r="CI382">
        <f t="shared" si="44"/>
        <v>0</v>
      </c>
      <c r="CJ382">
        <f t="shared" si="44"/>
        <v>0</v>
      </c>
      <c r="CK382">
        <f t="shared" si="44"/>
        <v>0</v>
      </c>
      <c r="CL382">
        <f t="shared" si="44"/>
        <v>0</v>
      </c>
      <c r="CM382">
        <f t="shared" si="44"/>
        <v>0</v>
      </c>
      <c r="CN382">
        <f t="shared" si="44"/>
        <v>0</v>
      </c>
      <c r="CO382">
        <f t="shared" si="44"/>
        <v>0</v>
      </c>
      <c r="CP382">
        <f t="shared" si="44"/>
        <v>0</v>
      </c>
      <c r="CQ382">
        <f t="shared" si="44"/>
        <v>0</v>
      </c>
      <c r="CR382">
        <f t="shared" si="44"/>
        <v>0</v>
      </c>
      <c r="CS382">
        <f t="shared" si="45"/>
        <v>0</v>
      </c>
      <c r="CT382">
        <f t="shared" si="45"/>
        <v>0</v>
      </c>
      <c r="CU382">
        <f t="shared" si="45"/>
        <v>0</v>
      </c>
      <c r="CV382">
        <f t="shared" si="45"/>
        <v>0</v>
      </c>
      <c r="CW382">
        <f t="shared" si="45"/>
        <v>0</v>
      </c>
      <c r="CX382">
        <f t="shared" si="45"/>
        <v>0</v>
      </c>
      <c r="CY382">
        <f t="shared" si="45"/>
        <v>0</v>
      </c>
      <c r="CZ382">
        <f t="shared" si="45"/>
        <v>0</v>
      </c>
      <c r="DA382">
        <f t="shared" si="45"/>
        <v>0</v>
      </c>
      <c r="DB382">
        <f t="shared" si="45"/>
        <v>0</v>
      </c>
      <c r="DD382" s="8">
        <f t="shared" si="22"/>
        <v>-2</v>
      </c>
      <c r="DF382" t="e">
        <f t="shared" ca="1" si="23"/>
        <v>#N/A</v>
      </c>
      <c r="DG382" t="e">
        <f t="shared" ca="1" si="24"/>
        <v>#N/A</v>
      </c>
      <c r="DH382" t="e">
        <f ca="1">SUM($DF$360:DF382)/$DG$359</f>
        <v>#N/A</v>
      </c>
      <c r="DI382" t="e">
        <f t="shared" ca="1" si="25"/>
        <v>#N/A</v>
      </c>
      <c r="DK382">
        <v>23</v>
      </c>
      <c r="DP382" s="1"/>
      <c r="DQ382" s="1"/>
      <c r="DR382" s="1"/>
      <c r="DS382" s="1"/>
      <c r="DT382" s="1"/>
      <c r="DU382" s="1"/>
      <c r="DV382" s="1"/>
      <c r="DW382" s="1"/>
      <c r="DX382" s="1"/>
      <c r="DY382" s="1"/>
      <c r="DZ382" s="1"/>
      <c r="EA382" s="1"/>
    </row>
    <row r="383" spans="7:131" x14ac:dyDescent="0.25">
      <c r="G383" t="e">
        <f t="shared" ca="1" si="36"/>
        <v>#N/A</v>
      </c>
      <c r="H383" t="e">
        <f t="shared" ca="1" si="36"/>
        <v>#N/A</v>
      </c>
      <c r="I383" t="e">
        <f t="shared" ca="1" si="36"/>
        <v>#N/A</v>
      </c>
      <c r="J383" t="e">
        <f t="shared" ca="1" si="36"/>
        <v>#N/A</v>
      </c>
      <c r="K383" t="e">
        <f t="shared" ca="1" si="36"/>
        <v>#N/A</v>
      </c>
      <c r="L383" t="e">
        <f t="shared" ca="1" si="36"/>
        <v>#N/A</v>
      </c>
      <c r="M383" t="e">
        <f t="shared" ca="1" si="36"/>
        <v>#N/A</v>
      </c>
      <c r="N383" t="e">
        <f t="shared" ca="1" si="36"/>
        <v>#N/A</v>
      </c>
      <c r="O383" t="e">
        <f t="shared" ca="1" si="36"/>
        <v>#N/A</v>
      </c>
      <c r="P383" t="e">
        <f t="shared" ca="1" si="36"/>
        <v>#N/A</v>
      </c>
      <c r="Q383" t="e">
        <f t="shared" ca="1" si="37"/>
        <v>#N/A</v>
      </c>
      <c r="R383" t="e">
        <f t="shared" ca="1" si="37"/>
        <v>#N/A</v>
      </c>
      <c r="S383" t="e">
        <f t="shared" ca="1" si="37"/>
        <v>#N/A</v>
      </c>
      <c r="T383" t="e">
        <f t="shared" ca="1" si="37"/>
        <v>#N/A</v>
      </c>
      <c r="U383" t="e">
        <f t="shared" ca="1" si="37"/>
        <v>#N/A</v>
      </c>
      <c r="V383" t="e">
        <f t="shared" ca="1" si="37"/>
        <v>#N/A</v>
      </c>
      <c r="W383" t="e">
        <f t="shared" ca="1" si="37"/>
        <v>#N/A</v>
      </c>
      <c r="X383" t="e">
        <f t="shared" ca="1" si="37"/>
        <v>#N/A</v>
      </c>
      <c r="Y383" t="e">
        <f t="shared" ca="1" si="37"/>
        <v>#N/A</v>
      </c>
      <c r="Z383" t="e">
        <f t="shared" ca="1" si="37"/>
        <v>#N/A</v>
      </c>
      <c r="AA383" t="e">
        <f t="shared" ca="1" si="38"/>
        <v>#N/A</v>
      </c>
      <c r="AB383" t="e">
        <f t="shared" ca="1" si="38"/>
        <v>#N/A</v>
      </c>
      <c r="AC383" t="e">
        <f t="shared" ca="1" si="38"/>
        <v>#N/A</v>
      </c>
      <c r="AD383" t="e">
        <f t="shared" ca="1" si="38"/>
        <v>#N/A</v>
      </c>
      <c r="AE383" t="e">
        <f t="shared" ca="1" si="38"/>
        <v>#N/A</v>
      </c>
      <c r="AF383" t="e">
        <f t="shared" ca="1" si="38"/>
        <v>#N/A</v>
      </c>
      <c r="AG383" t="e">
        <f t="shared" ca="1" si="38"/>
        <v>#N/A</v>
      </c>
      <c r="AH383" t="e">
        <f t="shared" ca="1" si="38"/>
        <v>#N/A</v>
      </c>
      <c r="AI383" t="e">
        <f t="shared" ca="1" si="38"/>
        <v>#N/A</v>
      </c>
      <c r="AJ383" t="e">
        <f t="shared" ca="1" si="38"/>
        <v>#N/A</v>
      </c>
      <c r="AK383" t="e">
        <f t="shared" ca="1" si="39"/>
        <v>#N/A</v>
      </c>
      <c r="AL383" t="e">
        <f t="shared" ca="1" si="39"/>
        <v>#N/A</v>
      </c>
      <c r="AM383" t="e">
        <f t="shared" ca="1" si="39"/>
        <v>#N/A</v>
      </c>
      <c r="AN383" t="e">
        <f t="shared" ca="1" si="39"/>
        <v>#N/A</v>
      </c>
      <c r="AO383" t="e">
        <f t="shared" ca="1" si="39"/>
        <v>#N/A</v>
      </c>
      <c r="AP383" t="e">
        <f t="shared" ca="1" si="39"/>
        <v>#N/A</v>
      </c>
      <c r="AQ383" t="e">
        <f t="shared" ca="1" si="39"/>
        <v>#N/A</v>
      </c>
      <c r="AR383" t="e">
        <f t="shared" ca="1" si="39"/>
        <v>#N/A</v>
      </c>
      <c r="AS383" t="e">
        <f t="shared" ca="1" si="39"/>
        <v>#N/A</v>
      </c>
      <c r="AT383" t="e">
        <f t="shared" ca="1" si="39"/>
        <v>#N/A</v>
      </c>
      <c r="AU383" t="e">
        <f t="shared" ca="1" si="40"/>
        <v>#N/A</v>
      </c>
      <c r="AV383" t="e">
        <f t="shared" ca="1" si="40"/>
        <v>#N/A</v>
      </c>
      <c r="AW383" t="e">
        <f t="shared" ca="1" si="40"/>
        <v>#N/A</v>
      </c>
      <c r="AX383" t="e">
        <f t="shared" ca="1" si="40"/>
        <v>#N/A</v>
      </c>
      <c r="AY383" t="e">
        <f t="shared" ca="1" si="40"/>
        <v>#N/A</v>
      </c>
      <c r="AZ383" t="e">
        <f t="shared" ca="1" si="40"/>
        <v>#N/A</v>
      </c>
      <c r="BA383" t="e">
        <f t="shared" ca="1" si="40"/>
        <v>#N/A</v>
      </c>
      <c r="BB383">
        <f t="shared" si="40"/>
        <v>0</v>
      </c>
      <c r="BC383">
        <f t="shared" si="40"/>
        <v>0</v>
      </c>
      <c r="BD383">
        <f t="shared" si="40"/>
        <v>0</v>
      </c>
      <c r="BE383">
        <f t="shared" si="41"/>
        <v>0</v>
      </c>
      <c r="BF383">
        <f t="shared" si="41"/>
        <v>0</v>
      </c>
      <c r="BG383">
        <f t="shared" si="41"/>
        <v>0</v>
      </c>
      <c r="BH383">
        <f t="shared" si="41"/>
        <v>0</v>
      </c>
      <c r="BI383">
        <f t="shared" si="41"/>
        <v>0</v>
      </c>
      <c r="BJ383">
        <f t="shared" si="41"/>
        <v>0</v>
      </c>
      <c r="BK383">
        <f t="shared" si="41"/>
        <v>0</v>
      </c>
      <c r="BL383">
        <f t="shared" si="41"/>
        <v>0</v>
      </c>
      <c r="BM383">
        <f t="shared" si="41"/>
        <v>0</v>
      </c>
      <c r="BN383">
        <f t="shared" si="41"/>
        <v>0</v>
      </c>
      <c r="BO383">
        <f t="shared" si="42"/>
        <v>0</v>
      </c>
      <c r="BP383">
        <f t="shared" si="42"/>
        <v>0</v>
      </c>
      <c r="BQ383">
        <f t="shared" si="42"/>
        <v>0</v>
      </c>
      <c r="BR383">
        <f t="shared" si="42"/>
        <v>0</v>
      </c>
      <c r="BS383">
        <f t="shared" si="42"/>
        <v>0</v>
      </c>
      <c r="BT383">
        <f t="shared" si="42"/>
        <v>0</v>
      </c>
      <c r="BU383">
        <f t="shared" si="42"/>
        <v>0</v>
      </c>
      <c r="BV383">
        <f t="shared" si="42"/>
        <v>0</v>
      </c>
      <c r="BW383">
        <f t="shared" si="42"/>
        <v>0</v>
      </c>
      <c r="BX383">
        <f t="shared" si="42"/>
        <v>0</v>
      </c>
      <c r="BY383">
        <f t="shared" si="43"/>
        <v>0</v>
      </c>
      <c r="BZ383">
        <f t="shared" si="43"/>
        <v>0</v>
      </c>
      <c r="CA383">
        <f t="shared" si="43"/>
        <v>0</v>
      </c>
      <c r="CB383">
        <f t="shared" si="43"/>
        <v>0</v>
      </c>
      <c r="CC383">
        <f t="shared" si="43"/>
        <v>0</v>
      </c>
      <c r="CD383">
        <f t="shared" si="43"/>
        <v>0</v>
      </c>
      <c r="CE383">
        <f t="shared" si="43"/>
        <v>0</v>
      </c>
      <c r="CF383">
        <f t="shared" si="43"/>
        <v>0</v>
      </c>
      <c r="CG383">
        <f t="shared" si="43"/>
        <v>0</v>
      </c>
      <c r="CH383">
        <f t="shared" si="43"/>
        <v>0</v>
      </c>
      <c r="CI383">
        <f t="shared" si="44"/>
        <v>0</v>
      </c>
      <c r="CJ383">
        <f t="shared" si="44"/>
        <v>0</v>
      </c>
      <c r="CK383">
        <f t="shared" si="44"/>
        <v>0</v>
      </c>
      <c r="CL383">
        <f t="shared" si="44"/>
        <v>0</v>
      </c>
      <c r="CM383">
        <f t="shared" si="44"/>
        <v>0</v>
      </c>
      <c r="CN383">
        <f t="shared" si="44"/>
        <v>0</v>
      </c>
      <c r="CO383">
        <f t="shared" si="44"/>
        <v>0</v>
      </c>
      <c r="CP383">
        <f t="shared" si="44"/>
        <v>0</v>
      </c>
      <c r="CQ383">
        <f t="shared" si="44"/>
        <v>0</v>
      </c>
      <c r="CR383">
        <f t="shared" si="44"/>
        <v>0</v>
      </c>
      <c r="CS383">
        <f t="shared" si="45"/>
        <v>0</v>
      </c>
      <c r="CT383">
        <f t="shared" si="45"/>
        <v>0</v>
      </c>
      <c r="CU383">
        <f t="shared" si="45"/>
        <v>0</v>
      </c>
      <c r="CV383">
        <f t="shared" si="45"/>
        <v>0</v>
      </c>
      <c r="CW383">
        <f t="shared" si="45"/>
        <v>0</v>
      </c>
      <c r="CX383">
        <f t="shared" si="45"/>
        <v>0</v>
      </c>
      <c r="CY383">
        <f t="shared" si="45"/>
        <v>0</v>
      </c>
      <c r="CZ383">
        <f t="shared" si="45"/>
        <v>0</v>
      </c>
      <c r="DA383">
        <f t="shared" si="45"/>
        <v>0</v>
      </c>
      <c r="DB383">
        <f t="shared" si="45"/>
        <v>0</v>
      </c>
      <c r="DD383" s="8">
        <f t="shared" si="22"/>
        <v>-3</v>
      </c>
      <c r="DF383" t="e">
        <f t="shared" ca="1" si="23"/>
        <v>#N/A</v>
      </c>
      <c r="DG383" t="e">
        <f t="shared" ca="1" si="24"/>
        <v>#N/A</v>
      </c>
      <c r="DH383" t="e">
        <f ca="1">SUM($DF$360:DF383)/$DG$359</f>
        <v>#N/A</v>
      </c>
      <c r="DI383" t="e">
        <f t="shared" ca="1" si="25"/>
        <v>#N/A</v>
      </c>
      <c r="DK383">
        <v>24</v>
      </c>
      <c r="DP383" s="1"/>
      <c r="DQ383" s="1"/>
      <c r="DR383" s="1"/>
      <c r="DS383" s="1"/>
      <c r="DT383" s="1"/>
      <c r="DU383" s="1"/>
      <c r="DV383" s="1"/>
      <c r="DW383" s="1"/>
      <c r="DX383" s="1"/>
      <c r="DY383" s="1"/>
      <c r="DZ383" s="1"/>
      <c r="EA383" s="1"/>
    </row>
    <row r="384" spans="7:131" x14ac:dyDescent="0.25">
      <c r="G384" t="e">
        <f t="shared" ca="1" si="36"/>
        <v>#N/A</v>
      </c>
      <c r="H384" t="e">
        <f t="shared" ca="1" si="36"/>
        <v>#N/A</v>
      </c>
      <c r="I384" t="e">
        <f t="shared" ca="1" si="36"/>
        <v>#N/A</v>
      </c>
      <c r="J384" t="e">
        <f t="shared" ca="1" si="36"/>
        <v>#N/A</v>
      </c>
      <c r="K384" t="e">
        <f t="shared" ca="1" si="36"/>
        <v>#N/A</v>
      </c>
      <c r="L384" t="e">
        <f t="shared" ca="1" si="36"/>
        <v>#N/A</v>
      </c>
      <c r="M384" t="e">
        <f t="shared" ca="1" si="36"/>
        <v>#N/A</v>
      </c>
      <c r="N384" t="e">
        <f t="shared" ca="1" si="36"/>
        <v>#N/A</v>
      </c>
      <c r="O384" t="e">
        <f t="shared" ca="1" si="36"/>
        <v>#N/A</v>
      </c>
      <c r="P384" t="e">
        <f t="shared" ca="1" si="36"/>
        <v>#N/A</v>
      </c>
      <c r="Q384" t="e">
        <f t="shared" ca="1" si="37"/>
        <v>#N/A</v>
      </c>
      <c r="R384" t="e">
        <f t="shared" ca="1" si="37"/>
        <v>#N/A</v>
      </c>
      <c r="S384" t="e">
        <f t="shared" ca="1" si="37"/>
        <v>#N/A</v>
      </c>
      <c r="T384" t="e">
        <f t="shared" ca="1" si="37"/>
        <v>#N/A</v>
      </c>
      <c r="U384" t="e">
        <f t="shared" ca="1" si="37"/>
        <v>#N/A</v>
      </c>
      <c r="V384" t="e">
        <f t="shared" ca="1" si="37"/>
        <v>#N/A</v>
      </c>
      <c r="W384" t="e">
        <f t="shared" ca="1" si="37"/>
        <v>#N/A</v>
      </c>
      <c r="X384" t="e">
        <f t="shared" ca="1" si="37"/>
        <v>#N/A</v>
      </c>
      <c r="Y384" t="e">
        <f t="shared" ca="1" si="37"/>
        <v>#N/A</v>
      </c>
      <c r="Z384" t="e">
        <f t="shared" ca="1" si="37"/>
        <v>#N/A</v>
      </c>
      <c r="AA384" t="e">
        <f t="shared" ca="1" si="38"/>
        <v>#N/A</v>
      </c>
      <c r="AB384" t="e">
        <f t="shared" ca="1" si="38"/>
        <v>#N/A</v>
      </c>
      <c r="AC384" t="e">
        <f t="shared" ca="1" si="38"/>
        <v>#N/A</v>
      </c>
      <c r="AD384" t="e">
        <f t="shared" ca="1" si="38"/>
        <v>#N/A</v>
      </c>
      <c r="AE384" t="e">
        <f t="shared" ca="1" si="38"/>
        <v>#N/A</v>
      </c>
      <c r="AF384" t="e">
        <f t="shared" ca="1" si="38"/>
        <v>#N/A</v>
      </c>
      <c r="AG384" t="e">
        <f t="shared" ca="1" si="38"/>
        <v>#N/A</v>
      </c>
      <c r="AH384" t="e">
        <f t="shared" ca="1" si="38"/>
        <v>#N/A</v>
      </c>
      <c r="AI384" t="e">
        <f t="shared" ca="1" si="38"/>
        <v>#N/A</v>
      </c>
      <c r="AJ384" t="e">
        <f t="shared" ca="1" si="38"/>
        <v>#N/A</v>
      </c>
      <c r="AK384" t="e">
        <f t="shared" ca="1" si="39"/>
        <v>#N/A</v>
      </c>
      <c r="AL384" t="e">
        <f t="shared" ca="1" si="39"/>
        <v>#N/A</v>
      </c>
      <c r="AM384" t="e">
        <f t="shared" ca="1" si="39"/>
        <v>#N/A</v>
      </c>
      <c r="AN384" t="e">
        <f t="shared" ca="1" si="39"/>
        <v>#N/A</v>
      </c>
      <c r="AO384" t="e">
        <f t="shared" ca="1" si="39"/>
        <v>#N/A</v>
      </c>
      <c r="AP384" t="e">
        <f t="shared" ca="1" si="39"/>
        <v>#N/A</v>
      </c>
      <c r="AQ384" t="e">
        <f t="shared" ca="1" si="39"/>
        <v>#N/A</v>
      </c>
      <c r="AR384" t="e">
        <f t="shared" ca="1" si="39"/>
        <v>#N/A</v>
      </c>
      <c r="AS384" t="e">
        <f t="shared" ca="1" si="39"/>
        <v>#N/A</v>
      </c>
      <c r="AT384" t="e">
        <f t="shared" ca="1" si="39"/>
        <v>#N/A</v>
      </c>
      <c r="AU384" t="e">
        <f t="shared" ca="1" si="40"/>
        <v>#N/A</v>
      </c>
      <c r="AV384" t="e">
        <f t="shared" ca="1" si="40"/>
        <v>#N/A</v>
      </c>
      <c r="AW384" t="e">
        <f t="shared" ca="1" si="40"/>
        <v>#N/A</v>
      </c>
      <c r="AX384" t="e">
        <f t="shared" ca="1" si="40"/>
        <v>#N/A</v>
      </c>
      <c r="AY384" t="e">
        <f t="shared" ca="1" si="40"/>
        <v>#N/A</v>
      </c>
      <c r="AZ384" t="e">
        <f t="shared" ca="1" si="40"/>
        <v>#N/A</v>
      </c>
      <c r="BA384">
        <f t="shared" si="40"/>
        <v>0</v>
      </c>
      <c r="BB384">
        <f t="shared" si="40"/>
        <v>0</v>
      </c>
      <c r="BC384">
        <f t="shared" si="40"/>
        <v>0</v>
      </c>
      <c r="BD384">
        <f t="shared" si="40"/>
        <v>0</v>
      </c>
      <c r="BE384">
        <f t="shared" si="41"/>
        <v>0</v>
      </c>
      <c r="BF384">
        <f t="shared" si="41"/>
        <v>0</v>
      </c>
      <c r="BG384">
        <f t="shared" si="41"/>
        <v>0</v>
      </c>
      <c r="BH384">
        <f t="shared" si="41"/>
        <v>0</v>
      </c>
      <c r="BI384">
        <f t="shared" si="41"/>
        <v>0</v>
      </c>
      <c r="BJ384">
        <f t="shared" si="41"/>
        <v>0</v>
      </c>
      <c r="BK384">
        <f t="shared" si="41"/>
        <v>0</v>
      </c>
      <c r="BL384">
        <f t="shared" si="41"/>
        <v>0</v>
      </c>
      <c r="BM384">
        <f t="shared" si="41"/>
        <v>0</v>
      </c>
      <c r="BN384">
        <f t="shared" si="41"/>
        <v>0</v>
      </c>
      <c r="BO384">
        <f t="shared" si="42"/>
        <v>0</v>
      </c>
      <c r="BP384">
        <f t="shared" si="42"/>
        <v>0</v>
      </c>
      <c r="BQ384">
        <f t="shared" si="42"/>
        <v>0</v>
      </c>
      <c r="BR384">
        <f t="shared" si="42"/>
        <v>0</v>
      </c>
      <c r="BS384">
        <f t="shared" si="42"/>
        <v>0</v>
      </c>
      <c r="BT384">
        <f t="shared" si="42"/>
        <v>0</v>
      </c>
      <c r="BU384">
        <f t="shared" si="42"/>
        <v>0</v>
      </c>
      <c r="BV384">
        <f t="shared" si="42"/>
        <v>0</v>
      </c>
      <c r="BW384">
        <f t="shared" si="42"/>
        <v>0</v>
      </c>
      <c r="BX384">
        <f t="shared" si="42"/>
        <v>0</v>
      </c>
      <c r="BY384">
        <f t="shared" si="43"/>
        <v>0</v>
      </c>
      <c r="BZ384">
        <f t="shared" si="43"/>
        <v>0</v>
      </c>
      <c r="CA384">
        <f t="shared" si="43"/>
        <v>0</v>
      </c>
      <c r="CB384">
        <f t="shared" si="43"/>
        <v>0</v>
      </c>
      <c r="CC384">
        <f t="shared" si="43"/>
        <v>0</v>
      </c>
      <c r="CD384">
        <f t="shared" si="43"/>
        <v>0</v>
      </c>
      <c r="CE384">
        <f t="shared" si="43"/>
        <v>0</v>
      </c>
      <c r="CF384">
        <f t="shared" si="43"/>
        <v>0</v>
      </c>
      <c r="CG384">
        <f t="shared" si="43"/>
        <v>0</v>
      </c>
      <c r="CH384">
        <f t="shared" si="43"/>
        <v>0</v>
      </c>
      <c r="CI384">
        <f t="shared" si="44"/>
        <v>0</v>
      </c>
      <c r="CJ384">
        <f t="shared" si="44"/>
        <v>0</v>
      </c>
      <c r="CK384">
        <f t="shared" si="44"/>
        <v>0</v>
      </c>
      <c r="CL384">
        <f t="shared" si="44"/>
        <v>0</v>
      </c>
      <c r="CM384">
        <f t="shared" si="44"/>
        <v>0</v>
      </c>
      <c r="CN384">
        <f t="shared" si="44"/>
        <v>0</v>
      </c>
      <c r="CO384">
        <f t="shared" si="44"/>
        <v>0</v>
      </c>
      <c r="CP384">
        <f t="shared" si="44"/>
        <v>0</v>
      </c>
      <c r="CQ384">
        <f t="shared" si="44"/>
        <v>0</v>
      </c>
      <c r="CR384">
        <f t="shared" si="44"/>
        <v>0</v>
      </c>
      <c r="CS384">
        <f t="shared" si="45"/>
        <v>0</v>
      </c>
      <c r="CT384">
        <f t="shared" si="45"/>
        <v>0</v>
      </c>
      <c r="CU384">
        <f t="shared" si="45"/>
        <v>0</v>
      </c>
      <c r="CV384">
        <f t="shared" si="45"/>
        <v>0</v>
      </c>
      <c r="CW384">
        <f t="shared" si="45"/>
        <v>0</v>
      </c>
      <c r="CX384">
        <f t="shared" si="45"/>
        <v>0</v>
      </c>
      <c r="CY384">
        <f t="shared" si="45"/>
        <v>0</v>
      </c>
      <c r="CZ384">
        <f t="shared" si="45"/>
        <v>0</v>
      </c>
      <c r="DA384">
        <f t="shared" si="45"/>
        <v>0</v>
      </c>
      <c r="DB384">
        <f t="shared" si="45"/>
        <v>0</v>
      </c>
      <c r="DD384" s="8">
        <f t="shared" si="22"/>
        <v>-4</v>
      </c>
      <c r="DF384" t="e">
        <f t="shared" ca="1" si="23"/>
        <v>#N/A</v>
      </c>
      <c r="DG384" t="e">
        <f t="shared" ca="1" si="24"/>
        <v>#N/A</v>
      </c>
      <c r="DH384" t="e">
        <f ca="1">SUM($DF$360:DF384)/$DG$359</f>
        <v>#N/A</v>
      </c>
      <c r="DI384" t="e">
        <f t="shared" ca="1" si="25"/>
        <v>#N/A</v>
      </c>
      <c r="DK384">
        <v>25</v>
      </c>
      <c r="DP384" s="1"/>
      <c r="DQ384" s="1"/>
      <c r="DR384" s="1"/>
      <c r="DS384" s="1"/>
      <c r="DT384" s="1"/>
      <c r="DU384" s="1"/>
      <c r="DV384" s="1"/>
      <c r="DW384" s="1"/>
      <c r="DX384" s="1"/>
      <c r="DY384" s="1"/>
      <c r="DZ384" s="1"/>
      <c r="EA384" s="1"/>
    </row>
    <row r="385" spans="7:131" x14ac:dyDescent="0.25">
      <c r="G385" t="e">
        <f t="shared" ca="1" si="36"/>
        <v>#N/A</v>
      </c>
      <c r="H385" t="e">
        <f t="shared" ca="1" si="36"/>
        <v>#N/A</v>
      </c>
      <c r="I385" t="e">
        <f t="shared" ca="1" si="36"/>
        <v>#N/A</v>
      </c>
      <c r="J385" t="e">
        <f t="shared" ca="1" si="36"/>
        <v>#N/A</v>
      </c>
      <c r="K385" t="e">
        <f t="shared" ca="1" si="36"/>
        <v>#N/A</v>
      </c>
      <c r="L385" t="e">
        <f t="shared" ca="1" si="36"/>
        <v>#N/A</v>
      </c>
      <c r="M385" t="e">
        <f t="shared" ca="1" si="36"/>
        <v>#N/A</v>
      </c>
      <c r="N385" t="e">
        <f t="shared" ca="1" si="36"/>
        <v>#N/A</v>
      </c>
      <c r="O385" t="e">
        <f t="shared" ca="1" si="36"/>
        <v>#N/A</v>
      </c>
      <c r="P385" t="e">
        <f t="shared" ca="1" si="36"/>
        <v>#N/A</v>
      </c>
      <c r="Q385" t="e">
        <f t="shared" ca="1" si="37"/>
        <v>#N/A</v>
      </c>
      <c r="R385" t="e">
        <f t="shared" ca="1" si="37"/>
        <v>#N/A</v>
      </c>
      <c r="S385" t="e">
        <f t="shared" ca="1" si="37"/>
        <v>#N/A</v>
      </c>
      <c r="T385" t="e">
        <f t="shared" ca="1" si="37"/>
        <v>#N/A</v>
      </c>
      <c r="U385" t="e">
        <f t="shared" ca="1" si="37"/>
        <v>#N/A</v>
      </c>
      <c r="V385" t="e">
        <f t="shared" ca="1" si="37"/>
        <v>#N/A</v>
      </c>
      <c r="W385" t="e">
        <f t="shared" ca="1" si="37"/>
        <v>#N/A</v>
      </c>
      <c r="X385" t="e">
        <f t="shared" ca="1" si="37"/>
        <v>#N/A</v>
      </c>
      <c r="Y385" t="e">
        <f t="shared" ca="1" si="37"/>
        <v>#N/A</v>
      </c>
      <c r="Z385" t="e">
        <f t="shared" ca="1" si="37"/>
        <v>#N/A</v>
      </c>
      <c r="AA385" t="e">
        <f t="shared" ca="1" si="38"/>
        <v>#N/A</v>
      </c>
      <c r="AB385" t="e">
        <f t="shared" ca="1" si="38"/>
        <v>#N/A</v>
      </c>
      <c r="AC385" t="e">
        <f t="shared" ca="1" si="38"/>
        <v>#N/A</v>
      </c>
      <c r="AD385" t="e">
        <f t="shared" ca="1" si="38"/>
        <v>#N/A</v>
      </c>
      <c r="AE385" t="e">
        <f t="shared" ca="1" si="38"/>
        <v>#N/A</v>
      </c>
      <c r="AF385" t="e">
        <f t="shared" ca="1" si="38"/>
        <v>#N/A</v>
      </c>
      <c r="AG385" t="e">
        <f t="shared" ca="1" si="38"/>
        <v>#N/A</v>
      </c>
      <c r="AH385" t="e">
        <f t="shared" ca="1" si="38"/>
        <v>#N/A</v>
      </c>
      <c r="AI385" t="e">
        <f t="shared" ca="1" si="38"/>
        <v>#N/A</v>
      </c>
      <c r="AJ385" t="e">
        <f t="shared" ca="1" si="38"/>
        <v>#N/A</v>
      </c>
      <c r="AK385" t="e">
        <f t="shared" ca="1" si="39"/>
        <v>#N/A</v>
      </c>
      <c r="AL385" t="e">
        <f t="shared" ca="1" si="39"/>
        <v>#N/A</v>
      </c>
      <c r="AM385" t="e">
        <f t="shared" ca="1" si="39"/>
        <v>#N/A</v>
      </c>
      <c r="AN385" t="e">
        <f t="shared" ca="1" si="39"/>
        <v>#N/A</v>
      </c>
      <c r="AO385" t="e">
        <f t="shared" ca="1" si="39"/>
        <v>#N/A</v>
      </c>
      <c r="AP385" t="e">
        <f t="shared" ca="1" si="39"/>
        <v>#N/A</v>
      </c>
      <c r="AQ385" t="e">
        <f t="shared" ca="1" si="39"/>
        <v>#N/A</v>
      </c>
      <c r="AR385" t="e">
        <f t="shared" ca="1" si="39"/>
        <v>#N/A</v>
      </c>
      <c r="AS385" t="e">
        <f t="shared" ca="1" si="39"/>
        <v>#N/A</v>
      </c>
      <c r="AT385" t="e">
        <f t="shared" ca="1" si="39"/>
        <v>#N/A</v>
      </c>
      <c r="AU385" t="e">
        <f t="shared" ca="1" si="40"/>
        <v>#N/A</v>
      </c>
      <c r="AV385" t="e">
        <f t="shared" ca="1" si="40"/>
        <v>#N/A</v>
      </c>
      <c r="AW385" t="e">
        <f t="shared" ca="1" si="40"/>
        <v>#N/A</v>
      </c>
      <c r="AX385" t="e">
        <f t="shared" ca="1" si="40"/>
        <v>#N/A</v>
      </c>
      <c r="AY385" t="e">
        <f t="shared" ca="1" si="40"/>
        <v>#N/A</v>
      </c>
      <c r="AZ385">
        <f t="shared" si="40"/>
        <v>0</v>
      </c>
      <c r="BA385">
        <f t="shared" si="40"/>
        <v>0</v>
      </c>
      <c r="BB385">
        <f t="shared" si="40"/>
        <v>0</v>
      </c>
      <c r="BC385">
        <f t="shared" si="40"/>
        <v>0</v>
      </c>
      <c r="BD385">
        <f t="shared" si="40"/>
        <v>0</v>
      </c>
      <c r="BE385">
        <f t="shared" si="41"/>
        <v>0</v>
      </c>
      <c r="BF385">
        <f t="shared" si="41"/>
        <v>0</v>
      </c>
      <c r="BG385">
        <f t="shared" si="41"/>
        <v>0</v>
      </c>
      <c r="BH385">
        <f t="shared" si="41"/>
        <v>0</v>
      </c>
      <c r="BI385">
        <f t="shared" si="41"/>
        <v>0</v>
      </c>
      <c r="BJ385">
        <f t="shared" si="41"/>
        <v>0</v>
      </c>
      <c r="BK385">
        <f t="shared" si="41"/>
        <v>0</v>
      </c>
      <c r="BL385">
        <f t="shared" si="41"/>
        <v>0</v>
      </c>
      <c r="BM385">
        <f t="shared" si="41"/>
        <v>0</v>
      </c>
      <c r="BN385">
        <f t="shared" si="41"/>
        <v>0</v>
      </c>
      <c r="BO385">
        <f t="shared" si="42"/>
        <v>0</v>
      </c>
      <c r="BP385">
        <f t="shared" si="42"/>
        <v>0</v>
      </c>
      <c r="BQ385">
        <f t="shared" si="42"/>
        <v>0</v>
      </c>
      <c r="BR385">
        <f t="shared" si="42"/>
        <v>0</v>
      </c>
      <c r="BS385">
        <f t="shared" si="42"/>
        <v>0</v>
      </c>
      <c r="BT385">
        <f t="shared" si="42"/>
        <v>0</v>
      </c>
      <c r="BU385">
        <f t="shared" si="42"/>
        <v>0</v>
      </c>
      <c r="BV385">
        <f t="shared" si="42"/>
        <v>0</v>
      </c>
      <c r="BW385">
        <f t="shared" si="42"/>
        <v>0</v>
      </c>
      <c r="BX385">
        <f t="shared" si="42"/>
        <v>0</v>
      </c>
      <c r="BY385">
        <f t="shared" si="43"/>
        <v>0</v>
      </c>
      <c r="BZ385">
        <f t="shared" si="43"/>
        <v>0</v>
      </c>
      <c r="CA385">
        <f t="shared" si="43"/>
        <v>0</v>
      </c>
      <c r="CB385">
        <f t="shared" si="43"/>
        <v>0</v>
      </c>
      <c r="CC385">
        <f t="shared" si="43"/>
        <v>0</v>
      </c>
      <c r="CD385">
        <f t="shared" si="43"/>
        <v>0</v>
      </c>
      <c r="CE385">
        <f t="shared" si="43"/>
        <v>0</v>
      </c>
      <c r="CF385">
        <f t="shared" si="43"/>
        <v>0</v>
      </c>
      <c r="CG385">
        <f t="shared" si="43"/>
        <v>0</v>
      </c>
      <c r="CH385">
        <f t="shared" si="43"/>
        <v>0</v>
      </c>
      <c r="CI385">
        <f t="shared" si="44"/>
        <v>0</v>
      </c>
      <c r="CJ385">
        <f t="shared" si="44"/>
        <v>0</v>
      </c>
      <c r="CK385">
        <f t="shared" si="44"/>
        <v>0</v>
      </c>
      <c r="CL385">
        <f t="shared" si="44"/>
        <v>0</v>
      </c>
      <c r="CM385">
        <f t="shared" si="44"/>
        <v>0</v>
      </c>
      <c r="CN385">
        <f t="shared" si="44"/>
        <v>0</v>
      </c>
      <c r="CO385">
        <f t="shared" si="44"/>
        <v>0</v>
      </c>
      <c r="CP385">
        <f t="shared" si="44"/>
        <v>0</v>
      </c>
      <c r="CQ385">
        <f t="shared" si="44"/>
        <v>0</v>
      </c>
      <c r="CR385">
        <f t="shared" si="44"/>
        <v>0</v>
      </c>
      <c r="CS385">
        <f t="shared" si="45"/>
        <v>0</v>
      </c>
      <c r="CT385">
        <f t="shared" si="45"/>
        <v>0</v>
      </c>
      <c r="CU385">
        <f t="shared" si="45"/>
        <v>0</v>
      </c>
      <c r="CV385">
        <f t="shared" si="45"/>
        <v>0</v>
      </c>
      <c r="CW385">
        <f t="shared" si="45"/>
        <v>0</v>
      </c>
      <c r="CX385">
        <f t="shared" si="45"/>
        <v>0</v>
      </c>
      <c r="CY385">
        <f t="shared" si="45"/>
        <v>0</v>
      </c>
      <c r="CZ385">
        <f t="shared" si="45"/>
        <v>0</v>
      </c>
      <c r="DA385">
        <f t="shared" si="45"/>
        <v>0</v>
      </c>
      <c r="DB385">
        <f t="shared" si="45"/>
        <v>0</v>
      </c>
      <c r="DD385" s="8">
        <f t="shared" si="22"/>
        <v>-5</v>
      </c>
      <c r="DF385" t="e">
        <f t="shared" ca="1" si="23"/>
        <v>#N/A</v>
      </c>
      <c r="DG385" t="e">
        <f t="shared" ca="1" si="24"/>
        <v>#N/A</v>
      </c>
      <c r="DH385" t="e">
        <f ca="1">SUM($DF$360:DF385)/$DG$359</f>
        <v>#N/A</v>
      </c>
      <c r="DI385" t="e">
        <f t="shared" ca="1" si="25"/>
        <v>#N/A</v>
      </c>
      <c r="DK385">
        <v>26</v>
      </c>
      <c r="DP385" s="1"/>
      <c r="DQ385" s="1"/>
      <c r="DR385" s="1"/>
      <c r="DS385" s="1"/>
      <c r="DT385" s="1"/>
      <c r="DU385" s="1"/>
      <c r="DV385" s="1"/>
      <c r="DW385" s="1"/>
      <c r="DX385" s="1"/>
      <c r="DY385" s="1"/>
      <c r="DZ385" s="1"/>
      <c r="EA385" s="1"/>
    </row>
    <row r="386" spans="7:131" x14ac:dyDescent="0.25">
      <c r="G386" t="e">
        <f t="shared" ca="1" si="36"/>
        <v>#N/A</v>
      </c>
      <c r="H386" t="e">
        <f t="shared" ca="1" si="36"/>
        <v>#N/A</v>
      </c>
      <c r="I386" t="e">
        <f t="shared" ca="1" si="36"/>
        <v>#N/A</v>
      </c>
      <c r="J386" t="e">
        <f t="shared" ca="1" si="36"/>
        <v>#N/A</v>
      </c>
      <c r="K386" t="e">
        <f t="shared" ca="1" si="36"/>
        <v>#N/A</v>
      </c>
      <c r="L386" t="e">
        <f t="shared" ca="1" si="36"/>
        <v>#N/A</v>
      </c>
      <c r="M386" t="e">
        <f t="shared" ca="1" si="36"/>
        <v>#N/A</v>
      </c>
      <c r="N386" t="e">
        <f t="shared" ca="1" si="36"/>
        <v>#N/A</v>
      </c>
      <c r="O386" t="e">
        <f t="shared" ca="1" si="36"/>
        <v>#N/A</v>
      </c>
      <c r="P386" t="e">
        <f t="shared" ca="1" si="36"/>
        <v>#N/A</v>
      </c>
      <c r="Q386" t="e">
        <f t="shared" ca="1" si="37"/>
        <v>#N/A</v>
      </c>
      <c r="R386" t="e">
        <f t="shared" ca="1" si="37"/>
        <v>#N/A</v>
      </c>
      <c r="S386" t="e">
        <f t="shared" ca="1" si="37"/>
        <v>#N/A</v>
      </c>
      <c r="T386" t="e">
        <f t="shared" ca="1" si="37"/>
        <v>#N/A</v>
      </c>
      <c r="U386" t="e">
        <f t="shared" ca="1" si="37"/>
        <v>#N/A</v>
      </c>
      <c r="V386" t="e">
        <f t="shared" ca="1" si="37"/>
        <v>#N/A</v>
      </c>
      <c r="W386" t="e">
        <f t="shared" ca="1" si="37"/>
        <v>#N/A</v>
      </c>
      <c r="X386" t="e">
        <f t="shared" ca="1" si="37"/>
        <v>#N/A</v>
      </c>
      <c r="Y386" t="e">
        <f t="shared" ca="1" si="37"/>
        <v>#N/A</v>
      </c>
      <c r="Z386" t="e">
        <f t="shared" ca="1" si="37"/>
        <v>#N/A</v>
      </c>
      <c r="AA386" t="e">
        <f t="shared" ca="1" si="38"/>
        <v>#N/A</v>
      </c>
      <c r="AB386" t="e">
        <f t="shared" ca="1" si="38"/>
        <v>#N/A</v>
      </c>
      <c r="AC386" t="e">
        <f t="shared" ca="1" si="38"/>
        <v>#N/A</v>
      </c>
      <c r="AD386" t="e">
        <f t="shared" ca="1" si="38"/>
        <v>#N/A</v>
      </c>
      <c r="AE386" t="e">
        <f t="shared" ca="1" si="38"/>
        <v>#N/A</v>
      </c>
      <c r="AF386" t="e">
        <f t="shared" ca="1" si="38"/>
        <v>#N/A</v>
      </c>
      <c r="AG386" t="e">
        <f t="shared" ca="1" si="38"/>
        <v>#N/A</v>
      </c>
      <c r="AH386" t="e">
        <f t="shared" ca="1" si="38"/>
        <v>#N/A</v>
      </c>
      <c r="AI386" t="e">
        <f t="shared" ca="1" si="38"/>
        <v>#N/A</v>
      </c>
      <c r="AJ386" t="e">
        <f t="shared" ca="1" si="38"/>
        <v>#N/A</v>
      </c>
      <c r="AK386" t="e">
        <f t="shared" ca="1" si="39"/>
        <v>#N/A</v>
      </c>
      <c r="AL386" t="e">
        <f t="shared" ca="1" si="39"/>
        <v>#N/A</v>
      </c>
      <c r="AM386" t="e">
        <f t="shared" ca="1" si="39"/>
        <v>#N/A</v>
      </c>
      <c r="AN386" t="e">
        <f t="shared" ca="1" si="39"/>
        <v>#N/A</v>
      </c>
      <c r="AO386" t="e">
        <f t="shared" ca="1" si="39"/>
        <v>#N/A</v>
      </c>
      <c r="AP386" t="e">
        <f t="shared" ca="1" si="39"/>
        <v>#N/A</v>
      </c>
      <c r="AQ386" t="e">
        <f t="shared" ca="1" si="39"/>
        <v>#N/A</v>
      </c>
      <c r="AR386" t="e">
        <f t="shared" ca="1" si="39"/>
        <v>#N/A</v>
      </c>
      <c r="AS386" t="e">
        <f t="shared" ca="1" si="39"/>
        <v>#N/A</v>
      </c>
      <c r="AT386" t="e">
        <f t="shared" ca="1" si="39"/>
        <v>#N/A</v>
      </c>
      <c r="AU386" t="e">
        <f t="shared" ca="1" si="40"/>
        <v>#N/A</v>
      </c>
      <c r="AV386" t="e">
        <f t="shared" ca="1" si="40"/>
        <v>#N/A</v>
      </c>
      <c r="AW386" t="e">
        <f t="shared" ca="1" si="40"/>
        <v>#N/A</v>
      </c>
      <c r="AX386" t="e">
        <f t="shared" ca="1" si="40"/>
        <v>#N/A</v>
      </c>
      <c r="AY386">
        <f t="shared" si="40"/>
        <v>0</v>
      </c>
      <c r="AZ386">
        <f t="shared" si="40"/>
        <v>0</v>
      </c>
      <c r="BA386">
        <f t="shared" si="40"/>
        <v>0</v>
      </c>
      <c r="BB386">
        <f t="shared" si="40"/>
        <v>0</v>
      </c>
      <c r="BC386">
        <f t="shared" si="40"/>
        <v>0</v>
      </c>
      <c r="BD386">
        <f t="shared" si="40"/>
        <v>0</v>
      </c>
      <c r="BE386">
        <f t="shared" si="41"/>
        <v>0</v>
      </c>
      <c r="BF386">
        <f t="shared" si="41"/>
        <v>0</v>
      </c>
      <c r="BG386">
        <f t="shared" si="41"/>
        <v>0</v>
      </c>
      <c r="BH386">
        <f t="shared" si="41"/>
        <v>0</v>
      </c>
      <c r="BI386">
        <f t="shared" si="41"/>
        <v>0</v>
      </c>
      <c r="BJ386">
        <f t="shared" si="41"/>
        <v>0</v>
      </c>
      <c r="BK386">
        <f t="shared" si="41"/>
        <v>0</v>
      </c>
      <c r="BL386">
        <f t="shared" si="41"/>
        <v>0</v>
      </c>
      <c r="BM386">
        <f t="shared" si="41"/>
        <v>0</v>
      </c>
      <c r="BN386">
        <f t="shared" si="41"/>
        <v>0</v>
      </c>
      <c r="BO386">
        <f t="shared" si="42"/>
        <v>0</v>
      </c>
      <c r="BP386">
        <f t="shared" si="42"/>
        <v>0</v>
      </c>
      <c r="BQ386">
        <f t="shared" si="42"/>
        <v>0</v>
      </c>
      <c r="BR386">
        <f t="shared" si="42"/>
        <v>0</v>
      </c>
      <c r="BS386">
        <f t="shared" si="42"/>
        <v>0</v>
      </c>
      <c r="BT386">
        <f t="shared" si="42"/>
        <v>0</v>
      </c>
      <c r="BU386">
        <f t="shared" si="42"/>
        <v>0</v>
      </c>
      <c r="BV386">
        <f t="shared" si="42"/>
        <v>0</v>
      </c>
      <c r="BW386">
        <f t="shared" si="42"/>
        <v>0</v>
      </c>
      <c r="BX386">
        <f t="shared" si="42"/>
        <v>0</v>
      </c>
      <c r="BY386">
        <f t="shared" si="43"/>
        <v>0</v>
      </c>
      <c r="BZ386">
        <f t="shared" si="43"/>
        <v>0</v>
      </c>
      <c r="CA386">
        <f t="shared" si="43"/>
        <v>0</v>
      </c>
      <c r="CB386">
        <f t="shared" si="43"/>
        <v>0</v>
      </c>
      <c r="CC386">
        <f t="shared" si="43"/>
        <v>0</v>
      </c>
      <c r="CD386">
        <f t="shared" si="43"/>
        <v>0</v>
      </c>
      <c r="CE386">
        <f t="shared" si="43"/>
        <v>0</v>
      </c>
      <c r="CF386">
        <f t="shared" si="43"/>
        <v>0</v>
      </c>
      <c r="CG386">
        <f t="shared" si="43"/>
        <v>0</v>
      </c>
      <c r="CH386">
        <f t="shared" si="43"/>
        <v>0</v>
      </c>
      <c r="CI386">
        <f t="shared" si="44"/>
        <v>0</v>
      </c>
      <c r="CJ386">
        <f t="shared" si="44"/>
        <v>0</v>
      </c>
      <c r="CK386">
        <f t="shared" si="44"/>
        <v>0</v>
      </c>
      <c r="CL386">
        <f t="shared" si="44"/>
        <v>0</v>
      </c>
      <c r="CM386">
        <f t="shared" si="44"/>
        <v>0</v>
      </c>
      <c r="CN386">
        <f t="shared" si="44"/>
        <v>0</v>
      </c>
      <c r="CO386">
        <f t="shared" si="44"/>
        <v>0</v>
      </c>
      <c r="CP386">
        <f t="shared" si="44"/>
        <v>0</v>
      </c>
      <c r="CQ386">
        <f t="shared" si="44"/>
        <v>0</v>
      </c>
      <c r="CR386">
        <f t="shared" si="44"/>
        <v>0</v>
      </c>
      <c r="CS386">
        <f t="shared" si="45"/>
        <v>0</v>
      </c>
      <c r="CT386">
        <f t="shared" si="45"/>
        <v>0</v>
      </c>
      <c r="CU386">
        <f t="shared" si="45"/>
        <v>0</v>
      </c>
      <c r="CV386">
        <f t="shared" si="45"/>
        <v>0</v>
      </c>
      <c r="CW386">
        <f t="shared" si="45"/>
        <v>0</v>
      </c>
      <c r="CX386">
        <f t="shared" si="45"/>
        <v>0</v>
      </c>
      <c r="CY386">
        <f t="shared" si="45"/>
        <v>0</v>
      </c>
      <c r="CZ386">
        <f t="shared" si="45"/>
        <v>0</v>
      </c>
      <c r="DA386">
        <f t="shared" si="45"/>
        <v>0</v>
      </c>
      <c r="DB386">
        <f t="shared" si="45"/>
        <v>0</v>
      </c>
      <c r="DD386" s="8">
        <f t="shared" si="22"/>
        <v>-6</v>
      </c>
      <c r="DF386" t="e">
        <f t="shared" ca="1" si="23"/>
        <v>#N/A</v>
      </c>
      <c r="DG386" t="e">
        <f t="shared" ca="1" si="24"/>
        <v>#N/A</v>
      </c>
      <c r="DH386" t="e">
        <f ca="1">SUM($DF$360:DF386)/$DG$359</f>
        <v>#N/A</v>
      </c>
      <c r="DI386" t="e">
        <f t="shared" ca="1" si="25"/>
        <v>#N/A</v>
      </c>
      <c r="DK386">
        <v>27</v>
      </c>
      <c r="DP386" s="1"/>
      <c r="DQ386" s="1"/>
      <c r="DR386" s="1"/>
      <c r="DS386" s="1"/>
      <c r="DT386" s="1"/>
      <c r="DU386" s="1"/>
      <c r="DV386" s="1"/>
      <c r="DW386" s="1"/>
      <c r="DX386" s="1"/>
      <c r="DY386" s="1"/>
      <c r="DZ386" s="1"/>
      <c r="EA386" s="1"/>
    </row>
    <row r="387" spans="7:131" x14ac:dyDescent="0.25">
      <c r="G387" t="e">
        <f t="shared" ca="1" si="36"/>
        <v>#N/A</v>
      </c>
      <c r="H387" t="e">
        <f t="shared" ca="1" si="36"/>
        <v>#N/A</v>
      </c>
      <c r="I387" t="e">
        <f t="shared" ca="1" si="36"/>
        <v>#N/A</v>
      </c>
      <c r="J387" t="e">
        <f t="shared" ca="1" si="36"/>
        <v>#N/A</v>
      </c>
      <c r="K387" t="e">
        <f t="shared" ca="1" si="36"/>
        <v>#N/A</v>
      </c>
      <c r="L387" t="e">
        <f t="shared" ca="1" si="36"/>
        <v>#N/A</v>
      </c>
      <c r="M387" t="e">
        <f t="shared" ca="1" si="36"/>
        <v>#N/A</v>
      </c>
      <c r="N387" t="e">
        <f t="shared" ca="1" si="36"/>
        <v>#N/A</v>
      </c>
      <c r="O387" t="e">
        <f t="shared" ca="1" si="36"/>
        <v>#N/A</v>
      </c>
      <c r="P387" t="e">
        <f t="shared" ca="1" si="36"/>
        <v>#N/A</v>
      </c>
      <c r="Q387" t="e">
        <f t="shared" ca="1" si="37"/>
        <v>#N/A</v>
      </c>
      <c r="R387" t="e">
        <f t="shared" ca="1" si="37"/>
        <v>#N/A</v>
      </c>
      <c r="S387" t="e">
        <f t="shared" ca="1" si="37"/>
        <v>#N/A</v>
      </c>
      <c r="T387" t="e">
        <f t="shared" ca="1" si="37"/>
        <v>#N/A</v>
      </c>
      <c r="U387" t="e">
        <f t="shared" ca="1" si="37"/>
        <v>#N/A</v>
      </c>
      <c r="V387" t="e">
        <f t="shared" ca="1" si="37"/>
        <v>#N/A</v>
      </c>
      <c r="W387" t="e">
        <f t="shared" ca="1" si="37"/>
        <v>#N/A</v>
      </c>
      <c r="X387" t="e">
        <f t="shared" ca="1" si="37"/>
        <v>#N/A</v>
      </c>
      <c r="Y387" t="e">
        <f t="shared" ca="1" si="37"/>
        <v>#N/A</v>
      </c>
      <c r="Z387" t="e">
        <f t="shared" ca="1" si="37"/>
        <v>#N/A</v>
      </c>
      <c r="AA387" t="e">
        <f t="shared" ca="1" si="38"/>
        <v>#N/A</v>
      </c>
      <c r="AB387" t="e">
        <f t="shared" ca="1" si="38"/>
        <v>#N/A</v>
      </c>
      <c r="AC387" t="e">
        <f t="shared" ca="1" si="38"/>
        <v>#N/A</v>
      </c>
      <c r="AD387" t="e">
        <f t="shared" ca="1" si="38"/>
        <v>#N/A</v>
      </c>
      <c r="AE387" t="e">
        <f t="shared" ca="1" si="38"/>
        <v>#N/A</v>
      </c>
      <c r="AF387" t="e">
        <f t="shared" ca="1" si="38"/>
        <v>#N/A</v>
      </c>
      <c r="AG387" t="e">
        <f t="shared" ca="1" si="38"/>
        <v>#N/A</v>
      </c>
      <c r="AH387" t="e">
        <f t="shared" ca="1" si="38"/>
        <v>#N/A</v>
      </c>
      <c r="AI387" t="e">
        <f t="shared" ca="1" si="38"/>
        <v>#N/A</v>
      </c>
      <c r="AJ387" t="e">
        <f t="shared" ca="1" si="38"/>
        <v>#N/A</v>
      </c>
      <c r="AK387" t="e">
        <f t="shared" ca="1" si="39"/>
        <v>#N/A</v>
      </c>
      <c r="AL387" t="e">
        <f t="shared" ca="1" si="39"/>
        <v>#N/A</v>
      </c>
      <c r="AM387" t="e">
        <f t="shared" ca="1" si="39"/>
        <v>#N/A</v>
      </c>
      <c r="AN387" t="e">
        <f t="shared" ca="1" si="39"/>
        <v>#N/A</v>
      </c>
      <c r="AO387" t="e">
        <f t="shared" ca="1" si="39"/>
        <v>#N/A</v>
      </c>
      <c r="AP387" t="e">
        <f t="shared" ca="1" si="39"/>
        <v>#N/A</v>
      </c>
      <c r="AQ387" t="e">
        <f t="shared" ca="1" si="39"/>
        <v>#N/A</v>
      </c>
      <c r="AR387" t="e">
        <f t="shared" ca="1" si="39"/>
        <v>#N/A</v>
      </c>
      <c r="AS387" t="e">
        <f t="shared" ca="1" si="39"/>
        <v>#N/A</v>
      </c>
      <c r="AT387" t="e">
        <f t="shared" ca="1" si="39"/>
        <v>#N/A</v>
      </c>
      <c r="AU387" t="e">
        <f t="shared" ca="1" si="40"/>
        <v>#N/A</v>
      </c>
      <c r="AV387" t="e">
        <f t="shared" ca="1" si="40"/>
        <v>#N/A</v>
      </c>
      <c r="AW387" t="e">
        <f t="shared" ca="1" si="40"/>
        <v>#N/A</v>
      </c>
      <c r="AX387">
        <f t="shared" si="40"/>
        <v>0</v>
      </c>
      <c r="AY387">
        <f t="shared" si="40"/>
        <v>0</v>
      </c>
      <c r="AZ387">
        <f t="shared" si="40"/>
        <v>0</v>
      </c>
      <c r="BA387">
        <f t="shared" si="40"/>
        <v>0</v>
      </c>
      <c r="BB387">
        <f t="shared" si="40"/>
        <v>0</v>
      </c>
      <c r="BC387">
        <f t="shared" si="40"/>
        <v>0</v>
      </c>
      <c r="BD387">
        <f t="shared" si="40"/>
        <v>0</v>
      </c>
      <c r="BE387">
        <f t="shared" si="41"/>
        <v>0</v>
      </c>
      <c r="BF387">
        <f t="shared" si="41"/>
        <v>0</v>
      </c>
      <c r="BG387">
        <f t="shared" si="41"/>
        <v>0</v>
      </c>
      <c r="BH387">
        <f t="shared" si="41"/>
        <v>0</v>
      </c>
      <c r="BI387">
        <f t="shared" si="41"/>
        <v>0</v>
      </c>
      <c r="BJ387">
        <f t="shared" si="41"/>
        <v>0</v>
      </c>
      <c r="BK387">
        <f t="shared" si="41"/>
        <v>0</v>
      </c>
      <c r="BL387">
        <f t="shared" si="41"/>
        <v>0</v>
      </c>
      <c r="BM387">
        <f t="shared" si="41"/>
        <v>0</v>
      </c>
      <c r="BN387">
        <f t="shared" si="41"/>
        <v>0</v>
      </c>
      <c r="BO387">
        <f t="shared" si="42"/>
        <v>0</v>
      </c>
      <c r="BP387">
        <f t="shared" si="42"/>
        <v>0</v>
      </c>
      <c r="BQ387">
        <f t="shared" si="42"/>
        <v>0</v>
      </c>
      <c r="BR387">
        <f t="shared" si="42"/>
        <v>0</v>
      </c>
      <c r="BS387">
        <f t="shared" si="42"/>
        <v>0</v>
      </c>
      <c r="BT387">
        <f t="shared" si="42"/>
        <v>0</v>
      </c>
      <c r="BU387">
        <f t="shared" si="42"/>
        <v>0</v>
      </c>
      <c r="BV387">
        <f t="shared" si="42"/>
        <v>0</v>
      </c>
      <c r="BW387">
        <f t="shared" si="42"/>
        <v>0</v>
      </c>
      <c r="BX387">
        <f t="shared" si="42"/>
        <v>0</v>
      </c>
      <c r="BY387">
        <f t="shared" si="43"/>
        <v>0</v>
      </c>
      <c r="BZ387">
        <f t="shared" si="43"/>
        <v>0</v>
      </c>
      <c r="CA387">
        <f t="shared" si="43"/>
        <v>0</v>
      </c>
      <c r="CB387">
        <f t="shared" si="43"/>
        <v>0</v>
      </c>
      <c r="CC387">
        <f t="shared" si="43"/>
        <v>0</v>
      </c>
      <c r="CD387">
        <f t="shared" si="43"/>
        <v>0</v>
      </c>
      <c r="CE387">
        <f t="shared" si="43"/>
        <v>0</v>
      </c>
      <c r="CF387">
        <f t="shared" si="43"/>
        <v>0</v>
      </c>
      <c r="CG387">
        <f t="shared" si="43"/>
        <v>0</v>
      </c>
      <c r="CH387">
        <f t="shared" si="43"/>
        <v>0</v>
      </c>
      <c r="CI387">
        <f t="shared" si="44"/>
        <v>0</v>
      </c>
      <c r="CJ387">
        <f t="shared" si="44"/>
        <v>0</v>
      </c>
      <c r="CK387">
        <f t="shared" si="44"/>
        <v>0</v>
      </c>
      <c r="CL387">
        <f t="shared" si="44"/>
        <v>0</v>
      </c>
      <c r="CM387">
        <f t="shared" si="44"/>
        <v>0</v>
      </c>
      <c r="CN387">
        <f t="shared" si="44"/>
        <v>0</v>
      </c>
      <c r="CO387">
        <f t="shared" si="44"/>
        <v>0</v>
      </c>
      <c r="CP387">
        <f t="shared" si="44"/>
        <v>0</v>
      </c>
      <c r="CQ387">
        <f t="shared" si="44"/>
        <v>0</v>
      </c>
      <c r="CR387">
        <f t="shared" si="44"/>
        <v>0</v>
      </c>
      <c r="CS387">
        <f t="shared" si="45"/>
        <v>0</v>
      </c>
      <c r="CT387">
        <f t="shared" si="45"/>
        <v>0</v>
      </c>
      <c r="CU387">
        <f t="shared" si="45"/>
        <v>0</v>
      </c>
      <c r="CV387">
        <f t="shared" si="45"/>
        <v>0</v>
      </c>
      <c r="CW387">
        <f t="shared" si="45"/>
        <v>0</v>
      </c>
      <c r="CX387">
        <f t="shared" si="45"/>
        <v>0</v>
      </c>
      <c r="CY387">
        <f t="shared" si="45"/>
        <v>0</v>
      </c>
      <c r="CZ387">
        <f t="shared" si="45"/>
        <v>0</v>
      </c>
      <c r="DA387">
        <f t="shared" si="45"/>
        <v>0</v>
      </c>
      <c r="DB387">
        <f t="shared" si="45"/>
        <v>0</v>
      </c>
      <c r="DD387" s="8">
        <f t="shared" si="22"/>
        <v>-7</v>
      </c>
      <c r="DF387" t="e">
        <f t="shared" ca="1" si="23"/>
        <v>#N/A</v>
      </c>
      <c r="DG387" t="e">
        <f t="shared" ca="1" si="24"/>
        <v>#N/A</v>
      </c>
      <c r="DH387" t="e">
        <f ca="1">SUM($DF$360:DF387)/$DG$359</f>
        <v>#N/A</v>
      </c>
      <c r="DI387" t="e">
        <f t="shared" ca="1" si="25"/>
        <v>#N/A</v>
      </c>
      <c r="DK387">
        <v>28</v>
      </c>
      <c r="DP387" s="1"/>
      <c r="DQ387" s="1"/>
      <c r="DR387" s="1"/>
      <c r="DS387" s="1"/>
      <c r="DT387" s="1"/>
      <c r="DU387" s="1"/>
      <c r="DV387" s="1"/>
      <c r="DW387" s="1"/>
      <c r="DX387" s="1"/>
      <c r="DY387" s="1"/>
      <c r="DZ387" s="1"/>
      <c r="EA387" s="1"/>
    </row>
    <row r="388" spans="7:131" x14ac:dyDescent="0.25">
      <c r="G388" t="e">
        <f t="shared" ca="1" si="36"/>
        <v>#N/A</v>
      </c>
      <c r="H388" t="e">
        <f t="shared" ca="1" si="36"/>
        <v>#N/A</v>
      </c>
      <c r="I388" t="e">
        <f t="shared" ca="1" si="36"/>
        <v>#N/A</v>
      </c>
      <c r="J388" t="e">
        <f t="shared" ca="1" si="36"/>
        <v>#N/A</v>
      </c>
      <c r="K388" t="e">
        <f t="shared" ca="1" si="36"/>
        <v>#N/A</v>
      </c>
      <c r="L388" t="e">
        <f t="shared" ca="1" si="36"/>
        <v>#N/A</v>
      </c>
      <c r="M388" t="e">
        <f t="shared" ca="1" si="36"/>
        <v>#N/A</v>
      </c>
      <c r="N388" t="e">
        <f t="shared" ca="1" si="36"/>
        <v>#N/A</v>
      </c>
      <c r="O388" t="e">
        <f t="shared" ca="1" si="36"/>
        <v>#N/A</v>
      </c>
      <c r="P388" t="e">
        <f t="shared" ca="1" si="36"/>
        <v>#N/A</v>
      </c>
      <c r="Q388" t="e">
        <f t="shared" ca="1" si="37"/>
        <v>#N/A</v>
      </c>
      <c r="R388" t="e">
        <f t="shared" ca="1" si="37"/>
        <v>#N/A</v>
      </c>
      <c r="S388" t="e">
        <f t="shared" ca="1" si="37"/>
        <v>#N/A</v>
      </c>
      <c r="T388" t="e">
        <f t="shared" ca="1" si="37"/>
        <v>#N/A</v>
      </c>
      <c r="U388" t="e">
        <f t="shared" ca="1" si="37"/>
        <v>#N/A</v>
      </c>
      <c r="V388" t="e">
        <f t="shared" ca="1" si="37"/>
        <v>#N/A</v>
      </c>
      <c r="W388" t="e">
        <f t="shared" ca="1" si="37"/>
        <v>#N/A</v>
      </c>
      <c r="X388" t="e">
        <f t="shared" ca="1" si="37"/>
        <v>#N/A</v>
      </c>
      <c r="Y388" t="e">
        <f t="shared" ca="1" si="37"/>
        <v>#N/A</v>
      </c>
      <c r="Z388" t="e">
        <f t="shared" ca="1" si="37"/>
        <v>#N/A</v>
      </c>
      <c r="AA388" t="e">
        <f t="shared" ca="1" si="38"/>
        <v>#N/A</v>
      </c>
      <c r="AB388" t="e">
        <f t="shared" ca="1" si="38"/>
        <v>#N/A</v>
      </c>
      <c r="AC388" t="e">
        <f t="shared" ca="1" si="38"/>
        <v>#N/A</v>
      </c>
      <c r="AD388" t="e">
        <f t="shared" ca="1" si="38"/>
        <v>#N/A</v>
      </c>
      <c r="AE388" t="e">
        <f t="shared" ca="1" si="38"/>
        <v>#N/A</v>
      </c>
      <c r="AF388" t="e">
        <f t="shared" ca="1" si="38"/>
        <v>#N/A</v>
      </c>
      <c r="AG388" t="e">
        <f t="shared" ca="1" si="38"/>
        <v>#N/A</v>
      </c>
      <c r="AH388" t="e">
        <f t="shared" ca="1" si="38"/>
        <v>#N/A</v>
      </c>
      <c r="AI388" t="e">
        <f t="shared" ca="1" si="38"/>
        <v>#N/A</v>
      </c>
      <c r="AJ388" t="e">
        <f t="shared" ca="1" si="38"/>
        <v>#N/A</v>
      </c>
      <c r="AK388" t="e">
        <f t="shared" ca="1" si="39"/>
        <v>#N/A</v>
      </c>
      <c r="AL388" t="e">
        <f t="shared" ca="1" si="39"/>
        <v>#N/A</v>
      </c>
      <c r="AM388" t="e">
        <f t="shared" ca="1" si="39"/>
        <v>#N/A</v>
      </c>
      <c r="AN388" t="e">
        <f t="shared" ca="1" si="39"/>
        <v>#N/A</v>
      </c>
      <c r="AO388" t="e">
        <f t="shared" ca="1" si="39"/>
        <v>#N/A</v>
      </c>
      <c r="AP388" t="e">
        <f t="shared" ca="1" si="39"/>
        <v>#N/A</v>
      </c>
      <c r="AQ388" t="e">
        <f t="shared" ca="1" si="39"/>
        <v>#N/A</v>
      </c>
      <c r="AR388" t="e">
        <f t="shared" ca="1" si="39"/>
        <v>#N/A</v>
      </c>
      <c r="AS388" t="e">
        <f t="shared" ca="1" si="39"/>
        <v>#N/A</v>
      </c>
      <c r="AT388" t="e">
        <f t="shared" ca="1" si="39"/>
        <v>#N/A</v>
      </c>
      <c r="AU388" t="e">
        <f t="shared" ca="1" si="40"/>
        <v>#N/A</v>
      </c>
      <c r="AV388" t="e">
        <f t="shared" ca="1" si="40"/>
        <v>#N/A</v>
      </c>
      <c r="AW388">
        <f t="shared" si="40"/>
        <v>0</v>
      </c>
      <c r="AX388">
        <f t="shared" si="40"/>
        <v>0</v>
      </c>
      <c r="AY388">
        <f t="shared" si="40"/>
        <v>0</v>
      </c>
      <c r="AZ388">
        <f t="shared" si="40"/>
        <v>0</v>
      </c>
      <c r="BA388">
        <f t="shared" si="40"/>
        <v>0</v>
      </c>
      <c r="BB388">
        <f t="shared" si="40"/>
        <v>0</v>
      </c>
      <c r="BC388">
        <f t="shared" si="40"/>
        <v>0</v>
      </c>
      <c r="BD388">
        <f t="shared" si="40"/>
        <v>0</v>
      </c>
      <c r="BE388">
        <f t="shared" si="41"/>
        <v>0</v>
      </c>
      <c r="BF388">
        <f t="shared" si="41"/>
        <v>0</v>
      </c>
      <c r="BG388">
        <f t="shared" si="41"/>
        <v>0</v>
      </c>
      <c r="BH388">
        <f t="shared" si="41"/>
        <v>0</v>
      </c>
      <c r="BI388">
        <f t="shared" si="41"/>
        <v>0</v>
      </c>
      <c r="BJ388">
        <f t="shared" si="41"/>
        <v>0</v>
      </c>
      <c r="BK388">
        <f t="shared" si="41"/>
        <v>0</v>
      </c>
      <c r="BL388">
        <f t="shared" si="41"/>
        <v>0</v>
      </c>
      <c r="BM388">
        <f t="shared" si="41"/>
        <v>0</v>
      </c>
      <c r="BN388">
        <f t="shared" si="41"/>
        <v>0</v>
      </c>
      <c r="BO388">
        <f t="shared" si="42"/>
        <v>0</v>
      </c>
      <c r="BP388">
        <f t="shared" si="42"/>
        <v>0</v>
      </c>
      <c r="BQ388">
        <f t="shared" si="42"/>
        <v>0</v>
      </c>
      <c r="BR388">
        <f t="shared" si="42"/>
        <v>0</v>
      </c>
      <c r="BS388">
        <f t="shared" si="42"/>
        <v>0</v>
      </c>
      <c r="BT388">
        <f t="shared" si="42"/>
        <v>0</v>
      </c>
      <c r="BU388">
        <f t="shared" si="42"/>
        <v>0</v>
      </c>
      <c r="BV388">
        <f t="shared" si="42"/>
        <v>0</v>
      </c>
      <c r="BW388">
        <f t="shared" si="42"/>
        <v>0</v>
      </c>
      <c r="BX388">
        <f t="shared" si="42"/>
        <v>0</v>
      </c>
      <c r="BY388">
        <f t="shared" si="43"/>
        <v>0</v>
      </c>
      <c r="BZ388">
        <f t="shared" si="43"/>
        <v>0</v>
      </c>
      <c r="CA388">
        <f t="shared" si="43"/>
        <v>0</v>
      </c>
      <c r="CB388">
        <f t="shared" si="43"/>
        <v>0</v>
      </c>
      <c r="CC388">
        <f t="shared" si="43"/>
        <v>0</v>
      </c>
      <c r="CD388">
        <f t="shared" si="43"/>
        <v>0</v>
      </c>
      <c r="CE388">
        <f t="shared" si="43"/>
        <v>0</v>
      </c>
      <c r="CF388">
        <f t="shared" si="43"/>
        <v>0</v>
      </c>
      <c r="CG388">
        <f t="shared" si="43"/>
        <v>0</v>
      </c>
      <c r="CH388">
        <f t="shared" si="43"/>
        <v>0</v>
      </c>
      <c r="CI388">
        <f t="shared" si="44"/>
        <v>0</v>
      </c>
      <c r="CJ388">
        <f t="shared" si="44"/>
        <v>0</v>
      </c>
      <c r="CK388">
        <f t="shared" si="44"/>
        <v>0</v>
      </c>
      <c r="CL388">
        <f t="shared" si="44"/>
        <v>0</v>
      </c>
      <c r="CM388">
        <f t="shared" si="44"/>
        <v>0</v>
      </c>
      <c r="CN388">
        <f t="shared" si="44"/>
        <v>0</v>
      </c>
      <c r="CO388">
        <f t="shared" si="44"/>
        <v>0</v>
      </c>
      <c r="CP388">
        <f t="shared" si="44"/>
        <v>0</v>
      </c>
      <c r="CQ388">
        <f t="shared" si="44"/>
        <v>0</v>
      </c>
      <c r="CR388">
        <f t="shared" si="44"/>
        <v>0</v>
      </c>
      <c r="CS388">
        <f t="shared" si="45"/>
        <v>0</v>
      </c>
      <c r="CT388">
        <f t="shared" si="45"/>
        <v>0</v>
      </c>
      <c r="CU388">
        <f t="shared" si="45"/>
        <v>0</v>
      </c>
      <c r="CV388">
        <f t="shared" si="45"/>
        <v>0</v>
      </c>
      <c r="CW388">
        <f t="shared" si="45"/>
        <v>0</v>
      </c>
      <c r="CX388">
        <f t="shared" si="45"/>
        <v>0</v>
      </c>
      <c r="CY388">
        <f t="shared" si="45"/>
        <v>0</v>
      </c>
      <c r="CZ388">
        <f t="shared" si="45"/>
        <v>0</v>
      </c>
      <c r="DA388">
        <f t="shared" si="45"/>
        <v>0</v>
      </c>
      <c r="DB388">
        <f t="shared" si="45"/>
        <v>0</v>
      </c>
      <c r="DD388" s="8">
        <f t="shared" si="22"/>
        <v>-8</v>
      </c>
      <c r="DF388" t="e">
        <f t="shared" ca="1" si="23"/>
        <v>#N/A</v>
      </c>
      <c r="DG388" t="e">
        <f t="shared" ca="1" si="24"/>
        <v>#N/A</v>
      </c>
      <c r="DH388" t="e">
        <f ca="1">SUM($DF$360:DF388)/$DG$359</f>
        <v>#N/A</v>
      </c>
      <c r="DI388" t="e">
        <f t="shared" ca="1" si="25"/>
        <v>#N/A</v>
      </c>
      <c r="DK388">
        <v>29</v>
      </c>
      <c r="DP388" s="1"/>
      <c r="DQ388" s="1"/>
      <c r="DR388" s="1"/>
      <c r="DS388" s="1"/>
      <c r="DT388" s="1"/>
      <c r="DU388" s="1"/>
      <c r="DV388" s="1"/>
      <c r="DW388" s="1"/>
      <c r="DX388" s="1"/>
      <c r="DY388" s="1"/>
      <c r="DZ388" s="1"/>
      <c r="EA388" s="1"/>
    </row>
    <row r="389" spans="7:131" x14ac:dyDescent="0.25">
      <c r="G389" t="e">
        <f t="shared" ref="G389:P398" ca="1" si="46">IF(G$1&lt;$DD389,G$358,0)</f>
        <v>#N/A</v>
      </c>
      <c r="H389" t="e">
        <f t="shared" ca="1" si="46"/>
        <v>#N/A</v>
      </c>
      <c r="I389" t="e">
        <f t="shared" ca="1" si="46"/>
        <v>#N/A</v>
      </c>
      <c r="J389" t="e">
        <f t="shared" ca="1" si="46"/>
        <v>#N/A</v>
      </c>
      <c r="K389" t="e">
        <f t="shared" ca="1" si="46"/>
        <v>#N/A</v>
      </c>
      <c r="L389" t="e">
        <f t="shared" ca="1" si="46"/>
        <v>#N/A</v>
      </c>
      <c r="M389" t="e">
        <f t="shared" ca="1" si="46"/>
        <v>#N/A</v>
      </c>
      <c r="N389" t="e">
        <f t="shared" ca="1" si="46"/>
        <v>#N/A</v>
      </c>
      <c r="O389" t="e">
        <f t="shared" ca="1" si="46"/>
        <v>#N/A</v>
      </c>
      <c r="P389" t="e">
        <f t="shared" ca="1" si="46"/>
        <v>#N/A</v>
      </c>
      <c r="Q389" t="e">
        <f t="shared" ref="Q389:Z398" ca="1" si="47">IF(Q$1&lt;$DD389,Q$358,0)</f>
        <v>#N/A</v>
      </c>
      <c r="R389" t="e">
        <f t="shared" ca="1" si="47"/>
        <v>#N/A</v>
      </c>
      <c r="S389" t="e">
        <f t="shared" ca="1" si="47"/>
        <v>#N/A</v>
      </c>
      <c r="T389" t="e">
        <f t="shared" ca="1" si="47"/>
        <v>#N/A</v>
      </c>
      <c r="U389" t="e">
        <f t="shared" ca="1" si="47"/>
        <v>#N/A</v>
      </c>
      <c r="V389" t="e">
        <f t="shared" ca="1" si="47"/>
        <v>#N/A</v>
      </c>
      <c r="W389" t="e">
        <f t="shared" ca="1" si="47"/>
        <v>#N/A</v>
      </c>
      <c r="X389" t="e">
        <f t="shared" ca="1" si="47"/>
        <v>#N/A</v>
      </c>
      <c r="Y389" t="e">
        <f t="shared" ca="1" si="47"/>
        <v>#N/A</v>
      </c>
      <c r="Z389" t="e">
        <f t="shared" ca="1" si="47"/>
        <v>#N/A</v>
      </c>
      <c r="AA389" t="e">
        <f t="shared" ref="AA389:AJ398" ca="1" si="48">IF(AA$1&lt;$DD389,AA$358,0)</f>
        <v>#N/A</v>
      </c>
      <c r="AB389" t="e">
        <f t="shared" ca="1" si="48"/>
        <v>#N/A</v>
      </c>
      <c r="AC389" t="e">
        <f t="shared" ca="1" si="48"/>
        <v>#N/A</v>
      </c>
      <c r="AD389" t="e">
        <f t="shared" ca="1" si="48"/>
        <v>#N/A</v>
      </c>
      <c r="AE389" t="e">
        <f t="shared" ca="1" si="48"/>
        <v>#N/A</v>
      </c>
      <c r="AF389" t="e">
        <f t="shared" ca="1" si="48"/>
        <v>#N/A</v>
      </c>
      <c r="AG389" t="e">
        <f t="shared" ca="1" si="48"/>
        <v>#N/A</v>
      </c>
      <c r="AH389" t="e">
        <f t="shared" ca="1" si="48"/>
        <v>#N/A</v>
      </c>
      <c r="AI389" t="e">
        <f t="shared" ca="1" si="48"/>
        <v>#N/A</v>
      </c>
      <c r="AJ389" t="e">
        <f t="shared" ca="1" si="48"/>
        <v>#N/A</v>
      </c>
      <c r="AK389" t="e">
        <f t="shared" ref="AK389:AT398" ca="1" si="49">IF(AK$1&lt;$DD389,AK$358,0)</f>
        <v>#N/A</v>
      </c>
      <c r="AL389" t="e">
        <f t="shared" ca="1" si="49"/>
        <v>#N/A</v>
      </c>
      <c r="AM389" t="e">
        <f t="shared" ca="1" si="49"/>
        <v>#N/A</v>
      </c>
      <c r="AN389" t="e">
        <f t="shared" ca="1" si="49"/>
        <v>#N/A</v>
      </c>
      <c r="AO389" t="e">
        <f t="shared" ca="1" si="49"/>
        <v>#N/A</v>
      </c>
      <c r="AP389" t="e">
        <f t="shared" ca="1" si="49"/>
        <v>#N/A</v>
      </c>
      <c r="AQ389" t="e">
        <f t="shared" ca="1" si="49"/>
        <v>#N/A</v>
      </c>
      <c r="AR389" t="e">
        <f t="shared" ca="1" si="49"/>
        <v>#N/A</v>
      </c>
      <c r="AS389" t="e">
        <f t="shared" ca="1" si="49"/>
        <v>#N/A</v>
      </c>
      <c r="AT389" t="e">
        <f t="shared" ca="1" si="49"/>
        <v>#N/A</v>
      </c>
      <c r="AU389" t="e">
        <f t="shared" ref="AU389:BD398" ca="1" si="50">IF(AU$1&lt;$DD389,AU$358,0)</f>
        <v>#N/A</v>
      </c>
      <c r="AV389">
        <f t="shared" si="50"/>
        <v>0</v>
      </c>
      <c r="AW389">
        <f t="shared" si="50"/>
        <v>0</v>
      </c>
      <c r="AX389">
        <f t="shared" si="50"/>
        <v>0</v>
      </c>
      <c r="AY389">
        <f t="shared" si="50"/>
        <v>0</v>
      </c>
      <c r="AZ389">
        <f t="shared" si="50"/>
        <v>0</v>
      </c>
      <c r="BA389">
        <f t="shared" si="50"/>
        <v>0</v>
      </c>
      <c r="BB389">
        <f t="shared" si="50"/>
        <v>0</v>
      </c>
      <c r="BC389">
        <f t="shared" si="50"/>
        <v>0</v>
      </c>
      <c r="BD389">
        <f t="shared" si="50"/>
        <v>0</v>
      </c>
      <c r="BE389">
        <f t="shared" ref="BE389:BN398" si="51">IF(BE$1&lt;$DD389,BE$358,0)</f>
        <v>0</v>
      </c>
      <c r="BF389">
        <f t="shared" si="51"/>
        <v>0</v>
      </c>
      <c r="BG389">
        <f t="shared" si="51"/>
        <v>0</v>
      </c>
      <c r="BH389">
        <f t="shared" si="51"/>
        <v>0</v>
      </c>
      <c r="BI389">
        <f t="shared" si="51"/>
        <v>0</v>
      </c>
      <c r="BJ389">
        <f t="shared" si="51"/>
        <v>0</v>
      </c>
      <c r="BK389">
        <f t="shared" si="51"/>
        <v>0</v>
      </c>
      <c r="BL389">
        <f t="shared" si="51"/>
        <v>0</v>
      </c>
      <c r="BM389">
        <f t="shared" si="51"/>
        <v>0</v>
      </c>
      <c r="BN389">
        <f t="shared" si="51"/>
        <v>0</v>
      </c>
      <c r="BO389">
        <f t="shared" ref="BO389:BX398" si="52">IF(BO$1&lt;$DD389,BO$358,0)</f>
        <v>0</v>
      </c>
      <c r="BP389">
        <f t="shared" si="52"/>
        <v>0</v>
      </c>
      <c r="BQ389">
        <f t="shared" si="52"/>
        <v>0</v>
      </c>
      <c r="BR389">
        <f t="shared" si="52"/>
        <v>0</v>
      </c>
      <c r="BS389">
        <f t="shared" si="52"/>
        <v>0</v>
      </c>
      <c r="BT389">
        <f t="shared" si="52"/>
        <v>0</v>
      </c>
      <c r="BU389">
        <f t="shared" si="52"/>
        <v>0</v>
      </c>
      <c r="BV389">
        <f t="shared" si="52"/>
        <v>0</v>
      </c>
      <c r="BW389">
        <f t="shared" si="52"/>
        <v>0</v>
      </c>
      <c r="BX389">
        <f t="shared" si="52"/>
        <v>0</v>
      </c>
      <c r="BY389">
        <f t="shared" ref="BY389:CH398" si="53">IF(BY$1&lt;$DD389,BY$358,0)</f>
        <v>0</v>
      </c>
      <c r="BZ389">
        <f t="shared" si="53"/>
        <v>0</v>
      </c>
      <c r="CA389">
        <f t="shared" si="53"/>
        <v>0</v>
      </c>
      <c r="CB389">
        <f t="shared" si="53"/>
        <v>0</v>
      </c>
      <c r="CC389">
        <f t="shared" si="53"/>
        <v>0</v>
      </c>
      <c r="CD389">
        <f t="shared" si="53"/>
        <v>0</v>
      </c>
      <c r="CE389">
        <f t="shared" si="53"/>
        <v>0</v>
      </c>
      <c r="CF389">
        <f t="shared" si="53"/>
        <v>0</v>
      </c>
      <c r="CG389">
        <f t="shared" si="53"/>
        <v>0</v>
      </c>
      <c r="CH389">
        <f t="shared" si="53"/>
        <v>0</v>
      </c>
      <c r="CI389">
        <f t="shared" ref="CI389:CR398" si="54">IF(CI$1&lt;$DD389,CI$358,0)</f>
        <v>0</v>
      </c>
      <c r="CJ389">
        <f t="shared" si="54"/>
        <v>0</v>
      </c>
      <c r="CK389">
        <f t="shared" si="54"/>
        <v>0</v>
      </c>
      <c r="CL389">
        <f t="shared" si="54"/>
        <v>0</v>
      </c>
      <c r="CM389">
        <f t="shared" si="54"/>
        <v>0</v>
      </c>
      <c r="CN389">
        <f t="shared" si="54"/>
        <v>0</v>
      </c>
      <c r="CO389">
        <f t="shared" si="54"/>
        <v>0</v>
      </c>
      <c r="CP389">
        <f t="shared" si="54"/>
        <v>0</v>
      </c>
      <c r="CQ389">
        <f t="shared" si="54"/>
        <v>0</v>
      </c>
      <c r="CR389">
        <f t="shared" si="54"/>
        <v>0</v>
      </c>
      <c r="CS389">
        <f t="shared" ref="CS389:DB398" si="55">IF(CS$1&lt;$DD389,CS$358,0)</f>
        <v>0</v>
      </c>
      <c r="CT389">
        <f t="shared" si="55"/>
        <v>0</v>
      </c>
      <c r="CU389">
        <f t="shared" si="55"/>
        <v>0</v>
      </c>
      <c r="CV389">
        <f t="shared" si="55"/>
        <v>0</v>
      </c>
      <c r="CW389">
        <f t="shared" si="55"/>
        <v>0</v>
      </c>
      <c r="CX389">
        <f t="shared" si="55"/>
        <v>0</v>
      </c>
      <c r="CY389">
        <f t="shared" si="55"/>
        <v>0</v>
      </c>
      <c r="CZ389">
        <f t="shared" si="55"/>
        <v>0</v>
      </c>
      <c r="DA389">
        <f t="shared" si="55"/>
        <v>0</v>
      </c>
      <c r="DB389">
        <f t="shared" si="55"/>
        <v>0</v>
      </c>
      <c r="DD389" s="8">
        <f t="shared" si="22"/>
        <v>-9</v>
      </c>
      <c r="DF389" t="e">
        <f t="shared" ca="1" si="23"/>
        <v>#N/A</v>
      </c>
      <c r="DG389" t="e">
        <f t="shared" ca="1" si="24"/>
        <v>#N/A</v>
      </c>
      <c r="DH389" t="e">
        <f ca="1">SUM($DF$360:DF389)/$DG$359</f>
        <v>#N/A</v>
      </c>
      <c r="DI389" t="e">
        <f t="shared" ca="1" si="25"/>
        <v>#N/A</v>
      </c>
      <c r="DK389">
        <v>30</v>
      </c>
      <c r="DP389" s="1"/>
      <c r="DQ389" s="1"/>
      <c r="DR389" s="1"/>
      <c r="DS389" s="1"/>
      <c r="DT389" s="1"/>
      <c r="DU389" s="1"/>
      <c r="DV389" s="1"/>
      <c r="DW389" s="1"/>
      <c r="DX389" s="1"/>
      <c r="DY389" s="1"/>
      <c r="DZ389" s="1"/>
      <c r="EA389" s="1"/>
    </row>
    <row r="390" spans="7:131" x14ac:dyDescent="0.25">
      <c r="G390" t="e">
        <f t="shared" ca="1" si="46"/>
        <v>#N/A</v>
      </c>
      <c r="H390" t="e">
        <f t="shared" ca="1" si="46"/>
        <v>#N/A</v>
      </c>
      <c r="I390" t="e">
        <f t="shared" ca="1" si="46"/>
        <v>#N/A</v>
      </c>
      <c r="J390" t="e">
        <f t="shared" ca="1" si="46"/>
        <v>#N/A</v>
      </c>
      <c r="K390" t="e">
        <f t="shared" ca="1" si="46"/>
        <v>#N/A</v>
      </c>
      <c r="L390" t="e">
        <f t="shared" ca="1" si="46"/>
        <v>#N/A</v>
      </c>
      <c r="M390" t="e">
        <f t="shared" ca="1" si="46"/>
        <v>#N/A</v>
      </c>
      <c r="N390" t="e">
        <f t="shared" ca="1" si="46"/>
        <v>#N/A</v>
      </c>
      <c r="O390" t="e">
        <f t="shared" ca="1" si="46"/>
        <v>#N/A</v>
      </c>
      <c r="P390" t="e">
        <f t="shared" ca="1" si="46"/>
        <v>#N/A</v>
      </c>
      <c r="Q390" t="e">
        <f t="shared" ca="1" si="47"/>
        <v>#N/A</v>
      </c>
      <c r="R390" t="e">
        <f t="shared" ca="1" si="47"/>
        <v>#N/A</v>
      </c>
      <c r="S390" t="e">
        <f t="shared" ca="1" si="47"/>
        <v>#N/A</v>
      </c>
      <c r="T390" t="e">
        <f t="shared" ca="1" si="47"/>
        <v>#N/A</v>
      </c>
      <c r="U390" t="e">
        <f t="shared" ca="1" si="47"/>
        <v>#N/A</v>
      </c>
      <c r="V390" t="e">
        <f t="shared" ca="1" si="47"/>
        <v>#N/A</v>
      </c>
      <c r="W390" t="e">
        <f t="shared" ca="1" si="47"/>
        <v>#N/A</v>
      </c>
      <c r="X390" t="e">
        <f t="shared" ca="1" si="47"/>
        <v>#N/A</v>
      </c>
      <c r="Y390" t="e">
        <f t="shared" ca="1" si="47"/>
        <v>#N/A</v>
      </c>
      <c r="Z390" t="e">
        <f t="shared" ca="1" si="47"/>
        <v>#N/A</v>
      </c>
      <c r="AA390" t="e">
        <f t="shared" ca="1" si="48"/>
        <v>#N/A</v>
      </c>
      <c r="AB390" t="e">
        <f t="shared" ca="1" si="48"/>
        <v>#N/A</v>
      </c>
      <c r="AC390" t="e">
        <f t="shared" ca="1" si="48"/>
        <v>#N/A</v>
      </c>
      <c r="AD390" t="e">
        <f t="shared" ca="1" si="48"/>
        <v>#N/A</v>
      </c>
      <c r="AE390" t="e">
        <f t="shared" ca="1" si="48"/>
        <v>#N/A</v>
      </c>
      <c r="AF390" t="e">
        <f t="shared" ca="1" si="48"/>
        <v>#N/A</v>
      </c>
      <c r="AG390" t="e">
        <f t="shared" ca="1" si="48"/>
        <v>#N/A</v>
      </c>
      <c r="AH390" t="e">
        <f t="shared" ca="1" si="48"/>
        <v>#N/A</v>
      </c>
      <c r="AI390" t="e">
        <f t="shared" ca="1" si="48"/>
        <v>#N/A</v>
      </c>
      <c r="AJ390" t="e">
        <f t="shared" ca="1" si="48"/>
        <v>#N/A</v>
      </c>
      <c r="AK390" t="e">
        <f t="shared" ca="1" si="49"/>
        <v>#N/A</v>
      </c>
      <c r="AL390" t="e">
        <f t="shared" ca="1" si="49"/>
        <v>#N/A</v>
      </c>
      <c r="AM390" t="e">
        <f t="shared" ca="1" si="49"/>
        <v>#N/A</v>
      </c>
      <c r="AN390" t="e">
        <f t="shared" ca="1" si="49"/>
        <v>#N/A</v>
      </c>
      <c r="AO390" t="e">
        <f t="shared" ca="1" si="49"/>
        <v>#N/A</v>
      </c>
      <c r="AP390" t="e">
        <f t="shared" ca="1" si="49"/>
        <v>#N/A</v>
      </c>
      <c r="AQ390" t="e">
        <f t="shared" ca="1" si="49"/>
        <v>#N/A</v>
      </c>
      <c r="AR390" t="e">
        <f t="shared" ca="1" si="49"/>
        <v>#N/A</v>
      </c>
      <c r="AS390" t="e">
        <f t="shared" ca="1" si="49"/>
        <v>#N/A</v>
      </c>
      <c r="AT390" t="e">
        <f t="shared" ca="1" si="49"/>
        <v>#N/A</v>
      </c>
      <c r="AU390">
        <f t="shared" si="50"/>
        <v>0</v>
      </c>
      <c r="AV390">
        <f t="shared" si="50"/>
        <v>0</v>
      </c>
      <c r="AW390">
        <f t="shared" si="50"/>
        <v>0</v>
      </c>
      <c r="AX390">
        <f t="shared" si="50"/>
        <v>0</v>
      </c>
      <c r="AY390">
        <f t="shared" si="50"/>
        <v>0</v>
      </c>
      <c r="AZ390">
        <f t="shared" si="50"/>
        <v>0</v>
      </c>
      <c r="BA390">
        <f t="shared" si="50"/>
        <v>0</v>
      </c>
      <c r="BB390">
        <f t="shared" si="50"/>
        <v>0</v>
      </c>
      <c r="BC390">
        <f t="shared" si="50"/>
        <v>0</v>
      </c>
      <c r="BD390">
        <f t="shared" si="50"/>
        <v>0</v>
      </c>
      <c r="BE390">
        <f t="shared" si="51"/>
        <v>0</v>
      </c>
      <c r="BF390">
        <f t="shared" si="51"/>
        <v>0</v>
      </c>
      <c r="BG390">
        <f t="shared" si="51"/>
        <v>0</v>
      </c>
      <c r="BH390">
        <f t="shared" si="51"/>
        <v>0</v>
      </c>
      <c r="BI390">
        <f t="shared" si="51"/>
        <v>0</v>
      </c>
      <c r="BJ390">
        <f t="shared" si="51"/>
        <v>0</v>
      </c>
      <c r="BK390">
        <f t="shared" si="51"/>
        <v>0</v>
      </c>
      <c r="BL390">
        <f t="shared" si="51"/>
        <v>0</v>
      </c>
      <c r="BM390">
        <f t="shared" si="51"/>
        <v>0</v>
      </c>
      <c r="BN390">
        <f t="shared" si="51"/>
        <v>0</v>
      </c>
      <c r="BO390">
        <f t="shared" si="52"/>
        <v>0</v>
      </c>
      <c r="BP390">
        <f t="shared" si="52"/>
        <v>0</v>
      </c>
      <c r="BQ390">
        <f t="shared" si="52"/>
        <v>0</v>
      </c>
      <c r="BR390">
        <f t="shared" si="52"/>
        <v>0</v>
      </c>
      <c r="BS390">
        <f t="shared" si="52"/>
        <v>0</v>
      </c>
      <c r="BT390">
        <f t="shared" si="52"/>
        <v>0</v>
      </c>
      <c r="BU390">
        <f t="shared" si="52"/>
        <v>0</v>
      </c>
      <c r="BV390">
        <f t="shared" si="52"/>
        <v>0</v>
      </c>
      <c r="BW390">
        <f t="shared" si="52"/>
        <v>0</v>
      </c>
      <c r="BX390">
        <f t="shared" si="52"/>
        <v>0</v>
      </c>
      <c r="BY390">
        <f t="shared" si="53"/>
        <v>0</v>
      </c>
      <c r="BZ390">
        <f t="shared" si="53"/>
        <v>0</v>
      </c>
      <c r="CA390">
        <f t="shared" si="53"/>
        <v>0</v>
      </c>
      <c r="CB390">
        <f t="shared" si="53"/>
        <v>0</v>
      </c>
      <c r="CC390">
        <f t="shared" si="53"/>
        <v>0</v>
      </c>
      <c r="CD390">
        <f t="shared" si="53"/>
        <v>0</v>
      </c>
      <c r="CE390">
        <f t="shared" si="53"/>
        <v>0</v>
      </c>
      <c r="CF390">
        <f t="shared" si="53"/>
        <v>0</v>
      </c>
      <c r="CG390">
        <f t="shared" si="53"/>
        <v>0</v>
      </c>
      <c r="CH390">
        <f t="shared" si="53"/>
        <v>0</v>
      </c>
      <c r="CI390">
        <f t="shared" si="54"/>
        <v>0</v>
      </c>
      <c r="CJ390">
        <f t="shared" si="54"/>
        <v>0</v>
      </c>
      <c r="CK390">
        <f t="shared" si="54"/>
        <v>0</v>
      </c>
      <c r="CL390">
        <f t="shared" si="54"/>
        <v>0</v>
      </c>
      <c r="CM390">
        <f t="shared" si="54"/>
        <v>0</v>
      </c>
      <c r="CN390">
        <f t="shared" si="54"/>
        <v>0</v>
      </c>
      <c r="CO390">
        <f t="shared" si="54"/>
        <v>0</v>
      </c>
      <c r="CP390">
        <f t="shared" si="54"/>
        <v>0</v>
      </c>
      <c r="CQ390">
        <f t="shared" si="54"/>
        <v>0</v>
      </c>
      <c r="CR390">
        <f t="shared" si="54"/>
        <v>0</v>
      </c>
      <c r="CS390">
        <f t="shared" si="55"/>
        <v>0</v>
      </c>
      <c r="CT390">
        <f t="shared" si="55"/>
        <v>0</v>
      </c>
      <c r="CU390">
        <f t="shared" si="55"/>
        <v>0</v>
      </c>
      <c r="CV390">
        <f t="shared" si="55"/>
        <v>0</v>
      </c>
      <c r="CW390">
        <f t="shared" si="55"/>
        <v>0</v>
      </c>
      <c r="CX390">
        <f t="shared" si="55"/>
        <v>0</v>
      </c>
      <c r="CY390">
        <f t="shared" si="55"/>
        <v>0</v>
      </c>
      <c r="CZ390">
        <f t="shared" si="55"/>
        <v>0</v>
      </c>
      <c r="DA390">
        <f t="shared" si="55"/>
        <v>0</v>
      </c>
      <c r="DB390">
        <f t="shared" si="55"/>
        <v>0</v>
      </c>
      <c r="DD390" s="8">
        <f t="shared" si="22"/>
        <v>-10</v>
      </c>
      <c r="DF390" t="e">
        <f t="shared" ca="1" si="23"/>
        <v>#N/A</v>
      </c>
      <c r="DG390" t="e">
        <f t="shared" ca="1" si="24"/>
        <v>#N/A</v>
      </c>
      <c r="DH390" t="e">
        <f ca="1">SUM($DF$360:DF390)/$DG$359</f>
        <v>#N/A</v>
      </c>
      <c r="DI390" t="e">
        <f t="shared" ca="1" si="25"/>
        <v>#N/A</v>
      </c>
      <c r="DK390">
        <v>31</v>
      </c>
      <c r="DP390" s="1"/>
      <c r="DQ390" s="1"/>
      <c r="DR390" s="1"/>
      <c r="DS390" s="1"/>
      <c r="DT390" s="1"/>
      <c r="DU390" s="1"/>
      <c r="DV390" s="1"/>
      <c r="DW390" s="1"/>
      <c r="DX390" s="1"/>
      <c r="DY390" s="1"/>
      <c r="DZ390" s="1"/>
      <c r="EA390" s="1"/>
    </row>
    <row r="391" spans="7:131" x14ac:dyDescent="0.25">
      <c r="G391" t="e">
        <f t="shared" ca="1" si="46"/>
        <v>#N/A</v>
      </c>
      <c r="H391" t="e">
        <f t="shared" ca="1" si="46"/>
        <v>#N/A</v>
      </c>
      <c r="I391" t="e">
        <f t="shared" ca="1" si="46"/>
        <v>#N/A</v>
      </c>
      <c r="J391" t="e">
        <f t="shared" ca="1" si="46"/>
        <v>#N/A</v>
      </c>
      <c r="K391" t="e">
        <f t="shared" ca="1" si="46"/>
        <v>#N/A</v>
      </c>
      <c r="L391" t="e">
        <f t="shared" ca="1" si="46"/>
        <v>#N/A</v>
      </c>
      <c r="M391" t="e">
        <f t="shared" ca="1" si="46"/>
        <v>#N/A</v>
      </c>
      <c r="N391" t="e">
        <f t="shared" ca="1" si="46"/>
        <v>#N/A</v>
      </c>
      <c r="O391" t="e">
        <f t="shared" ca="1" si="46"/>
        <v>#N/A</v>
      </c>
      <c r="P391" t="e">
        <f t="shared" ca="1" si="46"/>
        <v>#N/A</v>
      </c>
      <c r="Q391" t="e">
        <f t="shared" ca="1" si="47"/>
        <v>#N/A</v>
      </c>
      <c r="R391" t="e">
        <f t="shared" ca="1" si="47"/>
        <v>#N/A</v>
      </c>
      <c r="S391" t="e">
        <f t="shared" ca="1" si="47"/>
        <v>#N/A</v>
      </c>
      <c r="T391" t="e">
        <f t="shared" ca="1" si="47"/>
        <v>#N/A</v>
      </c>
      <c r="U391" t="e">
        <f t="shared" ca="1" si="47"/>
        <v>#N/A</v>
      </c>
      <c r="V391" t="e">
        <f t="shared" ca="1" si="47"/>
        <v>#N/A</v>
      </c>
      <c r="W391" t="e">
        <f t="shared" ca="1" si="47"/>
        <v>#N/A</v>
      </c>
      <c r="X391" t="e">
        <f t="shared" ca="1" si="47"/>
        <v>#N/A</v>
      </c>
      <c r="Y391" t="e">
        <f t="shared" ca="1" si="47"/>
        <v>#N/A</v>
      </c>
      <c r="Z391" t="e">
        <f t="shared" ca="1" si="47"/>
        <v>#N/A</v>
      </c>
      <c r="AA391" t="e">
        <f t="shared" ca="1" si="48"/>
        <v>#N/A</v>
      </c>
      <c r="AB391" t="e">
        <f t="shared" ca="1" si="48"/>
        <v>#N/A</v>
      </c>
      <c r="AC391" t="e">
        <f t="shared" ca="1" si="48"/>
        <v>#N/A</v>
      </c>
      <c r="AD391" t="e">
        <f t="shared" ca="1" si="48"/>
        <v>#N/A</v>
      </c>
      <c r="AE391" t="e">
        <f t="shared" ca="1" si="48"/>
        <v>#N/A</v>
      </c>
      <c r="AF391" t="e">
        <f t="shared" ca="1" si="48"/>
        <v>#N/A</v>
      </c>
      <c r="AG391" t="e">
        <f t="shared" ca="1" si="48"/>
        <v>#N/A</v>
      </c>
      <c r="AH391" t="e">
        <f t="shared" ca="1" si="48"/>
        <v>#N/A</v>
      </c>
      <c r="AI391" t="e">
        <f t="shared" ca="1" si="48"/>
        <v>#N/A</v>
      </c>
      <c r="AJ391" t="e">
        <f t="shared" ca="1" si="48"/>
        <v>#N/A</v>
      </c>
      <c r="AK391" t="e">
        <f t="shared" ca="1" si="49"/>
        <v>#N/A</v>
      </c>
      <c r="AL391" t="e">
        <f t="shared" ca="1" si="49"/>
        <v>#N/A</v>
      </c>
      <c r="AM391" t="e">
        <f t="shared" ca="1" si="49"/>
        <v>#N/A</v>
      </c>
      <c r="AN391" t="e">
        <f t="shared" ca="1" si="49"/>
        <v>#N/A</v>
      </c>
      <c r="AO391" t="e">
        <f t="shared" ca="1" si="49"/>
        <v>#N/A</v>
      </c>
      <c r="AP391" t="e">
        <f t="shared" ca="1" si="49"/>
        <v>#N/A</v>
      </c>
      <c r="AQ391" t="e">
        <f t="shared" ca="1" si="49"/>
        <v>#N/A</v>
      </c>
      <c r="AR391" t="e">
        <f t="shared" ca="1" si="49"/>
        <v>#N/A</v>
      </c>
      <c r="AS391" t="e">
        <f t="shared" ca="1" si="49"/>
        <v>#N/A</v>
      </c>
      <c r="AT391">
        <f t="shared" si="49"/>
        <v>0</v>
      </c>
      <c r="AU391">
        <f t="shared" si="50"/>
        <v>0</v>
      </c>
      <c r="AV391">
        <f t="shared" si="50"/>
        <v>0</v>
      </c>
      <c r="AW391">
        <f t="shared" si="50"/>
        <v>0</v>
      </c>
      <c r="AX391">
        <f t="shared" si="50"/>
        <v>0</v>
      </c>
      <c r="AY391">
        <f t="shared" si="50"/>
        <v>0</v>
      </c>
      <c r="AZ391">
        <f t="shared" si="50"/>
        <v>0</v>
      </c>
      <c r="BA391">
        <f t="shared" si="50"/>
        <v>0</v>
      </c>
      <c r="BB391">
        <f t="shared" si="50"/>
        <v>0</v>
      </c>
      <c r="BC391">
        <f t="shared" si="50"/>
        <v>0</v>
      </c>
      <c r="BD391">
        <f t="shared" si="50"/>
        <v>0</v>
      </c>
      <c r="BE391">
        <f t="shared" si="51"/>
        <v>0</v>
      </c>
      <c r="BF391">
        <f t="shared" si="51"/>
        <v>0</v>
      </c>
      <c r="BG391">
        <f t="shared" si="51"/>
        <v>0</v>
      </c>
      <c r="BH391">
        <f t="shared" si="51"/>
        <v>0</v>
      </c>
      <c r="BI391">
        <f t="shared" si="51"/>
        <v>0</v>
      </c>
      <c r="BJ391">
        <f t="shared" si="51"/>
        <v>0</v>
      </c>
      <c r="BK391">
        <f t="shared" si="51"/>
        <v>0</v>
      </c>
      <c r="BL391">
        <f t="shared" si="51"/>
        <v>0</v>
      </c>
      <c r="BM391">
        <f t="shared" si="51"/>
        <v>0</v>
      </c>
      <c r="BN391">
        <f t="shared" si="51"/>
        <v>0</v>
      </c>
      <c r="BO391">
        <f t="shared" si="52"/>
        <v>0</v>
      </c>
      <c r="BP391">
        <f t="shared" si="52"/>
        <v>0</v>
      </c>
      <c r="BQ391">
        <f t="shared" si="52"/>
        <v>0</v>
      </c>
      <c r="BR391">
        <f t="shared" si="52"/>
        <v>0</v>
      </c>
      <c r="BS391">
        <f t="shared" si="52"/>
        <v>0</v>
      </c>
      <c r="BT391">
        <f t="shared" si="52"/>
        <v>0</v>
      </c>
      <c r="BU391">
        <f t="shared" si="52"/>
        <v>0</v>
      </c>
      <c r="BV391">
        <f t="shared" si="52"/>
        <v>0</v>
      </c>
      <c r="BW391">
        <f t="shared" si="52"/>
        <v>0</v>
      </c>
      <c r="BX391">
        <f t="shared" si="52"/>
        <v>0</v>
      </c>
      <c r="BY391">
        <f t="shared" si="53"/>
        <v>0</v>
      </c>
      <c r="BZ391">
        <f t="shared" si="53"/>
        <v>0</v>
      </c>
      <c r="CA391">
        <f t="shared" si="53"/>
        <v>0</v>
      </c>
      <c r="CB391">
        <f t="shared" si="53"/>
        <v>0</v>
      </c>
      <c r="CC391">
        <f t="shared" si="53"/>
        <v>0</v>
      </c>
      <c r="CD391">
        <f t="shared" si="53"/>
        <v>0</v>
      </c>
      <c r="CE391">
        <f t="shared" si="53"/>
        <v>0</v>
      </c>
      <c r="CF391">
        <f t="shared" si="53"/>
        <v>0</v>
      </c>
      <c r="CG391">
        <f t="shared" si="53"/>
        <v>0</v>
      </c>
      <c r="CH391">
        <f t="shared" si="53"/>
        <v>0</v>
      </c>
      <c r="CI391">
        <f t="shared" si="54"/>
        <v>0</v>
      </c>
      <c r="CJ391">
        <f t="shared" si="54"/>
        <v>0</v>
      </c>
      <c r="CK391">
        <f t="shared" si="54"/>
        <v>0</v>
      </c>
      <c r="CL391">
        <f t="shared" si="54"/>
        <v>0</v>
      </c>
      <c r="CM391">
        <f t="shared" si="54"/>
        <v>0</v>
      </c>
      <c r="CN391">
        <f t="shared" si="54"/>
        <v>0</v>
      </c>
      <c r="CO391">
        <f t="shared" si="54"/>
        <v>0</v>
      </c>
      <c r="CP391">
        <f t="shared" si="54"/>
        <v>0</v>
      </c>
      <c r="CQ391">
        <f t="shared" si="54"/>
        <v>0</v>
      </c>
      <c r="CR391">
        <f t="shared" si="54"/>
        <v>0</v>
      </c>
      <c r="CS391">
        <f t="shared" si="55"/>
        <v>0</v>
      </c>
      <c r="CT391">
        <f t="shared" si="55"/>
        <v>0</v>
      </c>
      <c r="CU391">
        <f t="shared" si="55"/>
        <v>0</v>
      </c>
      <c r="CV391">
        <f t="shared" si="55"/>
        <v>0</v>
      </c>
      <c r="CW391">
        <f t="shared" si="55"/>
        <v>0</v>
      </c>
      <c r="CX391">
        <f t="shared" si="55"/>
        <v>0</v>
      </c>
      <c r="CY391">
        <f t="shared" si="55"/>
        <v>0</v>
      </c>
      <c r="CZ391">
        <f t="shared" si="55"/>
        <v>0</v>
      </c>
      <c r="DA391">
        <f t="shared" si="55"/>
        <v>0</v>
      </c>
      <c r="DB391">
        <f t="shared" si="55"/>
        <v>0</v>
      </c>
      <c r="DD391" s="8">
        <f t="shared" si="22"/>
        <v>-11</v>
      </c>
      <c r="DF391" t="e">
        <f t="shared" ca="1" si="23"/>
        <v>#N/A</v>
      </c>
      <c r="DG391" t="e">
        <f t="shared" ca="1" si="24"/>
        <v>#N/A</v>
      </c>
      <c r="DH391" t="e">
        <f ca="1">SUM($DF$360:DF391)/$DG$359</f>
        <v>#N/A</v>
      </c>
      <c r="DI391" t="e">
        <f t="shared" ca="1" si="25"/>
        <v>#N/A</v>
      </c>
      <c r="DK391">
        <v>32</v>
      </c>
      <c r="DP391" s="1"/>
      <c r="DQ391" s="1"/>
      <c r="DR391" s="1"/>
      <c r="DS391" s="1"/>
      <c r="DT391" s="1"/>
      <c r="DU391" s="1"/>
      <c r="DV391" s="1"/>
      <c r="DW391" s="1"/>
      <c r="DX391" s="1"/>
      <c r="DY391" s="1"/>
      <c r="DZ391" s="1"/>
      <c r="EA391" s="1"/>
    </row>
    <row r="392" spans="7:131" x14ac:dyDescent="0.25">
      <c r="G392" t="e">
        <f t="shared" ca="1" si="46"/>
        <v>#N/A</v>
      </c>
      <c r="H392" t="e">
        <f t="shared" ca="1" si="46"/>
        <v>#N/A</v>
      </c>
      <c r="I392" t="e">
        <f t="shared" ca="1" si="46"/>
        <v>#N/A</v>
      </c>
      <c r="J392" t="e">
        <f t="shared" ca="1" si="46"/>
        <v>#N/A</v>
      </c>
      <c r="K392" t="e">
        <f t="shared" ca="1" si="46"/>
        <v>#N/A</v>
      </c>
      <c r="L392" t="e">
        <f t="shared" ca="1" si="46"/>
        <v>#N/A</v>
      </c>
      <c r="M392" t="e">
        <f t="shared" ca="1" si="46"/>
        <v>#N/A</v>
      </c>
      <c r="N392" t="e">
        <f t="shared" ca="1" si="46"/>
        <v>#N/A</v>
      </c>
      <c r="O392" t="e">
        <f t="shared" ca="1" si="46"/>
        <v>#N/A</v>
      </c>
      <c r="P392" t="e">
        <f t="shared" ca="1" si="46"/>
        <v>#N/A</v>
      </c>
      <c r="Q392" t="e">
        <f t="shared" ca="1" si="47"/>
        <v>#N/A</v>
      </c>
      <c r="R392" t="e">
        <f t="shared" ca="1" si="47"/>
        <v>#N/A</v>
      </c>
      <c r="S392" t="e">
        <f t="shared" ca="1" si="47"/>
        <v>#N/A</v>
      </c>
      <c r="T392" t="e">
        <f t="shared" ca="1" si="47"/>
        <v>#N/A</v>
      </c>
      <c r="U392" t="e">
        <f t="shared" ca="1" si="47"/>
        <v>#N/A</v>
      </c>
      <c r="V392" t="e">
        <f t="shared" ca="1" si="47"/>
        <v>#N/A</v>
      </c>
      <c r="W392" t="e">
        <f t="shared" ca="1" si="47"/>
        <v>#N/A</v>
      </c>
      <c r="X392" t="e">
        <f t="shared" ca="1" si="47"/>
        <v>#N/A</v>
      </c>
      <c r="Y392" t="e">
        <f t="shared" ca="1" si="47"/>
        <v>#N/A</v>
      </c>
      <c r="Z392" t="e">
        <f t="shared" ca="1" si="47"/>
        <v>#N/A</v>
      </c>
      <c r="AA392" t="e">
        <f t="shared" ca="1" si="48"/>
        <v>#N/A</v>
      </c>
      <c r="AB392" t="e">
        <f t="shared" ca="1" si="48"/>
        <v>#N/A</v>
      </c>
      <c r="AC392" t="e">
        <f t="shared" ca="1" si="48"/>
        <v>#N/A</v>
      </c>
      <c r="AD392" t="e">
        <f t="shared" ca="1" si="48"/>
        <v>#N/A</v>
      </c>
      <c r="AE392" t="e">
        <f t="shared" ca="1" si="48"/>
        <v>#N/A</v>
      </c>
      <c r="AF392" t="e">
        <f t="shared" ca="1" si="48"/>
        <v>#N/A</v>
      </c>
      <c r="AG392" t="e">
        <f t="shared" ca="1" si="48"/>
        <v>#N/A</v>
      </c>
      <c r="AH392" t="e">
        <f t="shared" ca="1" si="48"/>
        <v>#N/A</v>
      </c>
      <c r="AI392" t="e">
        <f t="shared" ca="1" si="48"/>
        <v>#N/A</v>
      </c>
      <c r="AJ392" t="e">
        <f t="shared" ca="1" si="48"/>
        <v>#N/A</v>
      </c>
      <c r="AK392" t="e">
        <f t="shared" ca="1" si="49"/>
        <v>#N/A</v>
      </c>
      <c r="AL392" t="e">
        <f t="shared" ca="1" si="49"/>
        <v>#N/A</v>
      </c>
      <c r="AM392" t="e">
        <f t="shared" ca="1" si="49"/>
        <v>#N/A</v>
      </c>
      <c r="AN392" t="e">
        <f t="shared" ca="1" si="49"/>
        <v>#N/A</v>
      </c>
      <c r="AO392" t="e">
        <f t="shared" ca="1" si="49"/>
        <v>#N/A</v>
      </c>
      <c r="AP392" t="e">
        <f t="shared" ca="1" si="49"/>
        <v>#N/A</v>
      </c>
      <c r="AQ392" t="e">
        <f t="shared" ca="1" si="49"/>
        <v>#N/A</v>
      </c>
      <c r="AR392" t="e">
        <f t="shared" ca="1" si="49"/>
        <v>#N/A</v>
      </c>
      <c r="AS392">
        <f t="shared" si="49"/>
        <v>0</v>
      </c>
      <c r="AT392">
        <f t="shared" si="49"/>
        <v>0</v>
      </c>
      <c r="AU392">
        <f t="shared" si="50"/>
        <v>0</v>
      </c>
      <c r="AV392">
        <f t="shared" si="50"/>
        <v>0</v>
      </c>
      <c r="AW392">
        <f t="shared" si="50"/>
        <v>0</v>
      </c>
      <c r="AX392">
        <f t="shared" si="50"/>
        <v>0</v>
      </c>
      <c r="AY392">
        <f t="shared" si="50"/>
        <v>0</v>
      </c>
      <c r="AZ392">
        <f t="shared" si="50"/>
        <v>0</v>
      </c>
      <c r="BA392">
        <f t="shared" si="50"/>
        <v>0</v>
      </c>
      <c r="BB392">
        <f t="shared" si="50"/>
        <v>0</v>
      </c>
      <c r="BC392">
        <f t="shared" si="50"/>
        <v>0</v>
      </c>
      <c r="BD392">
        <f t="shared" si="50"/>
        <v>0</v>
      </c>
      <c r="BE392">
        <f t="shared" si="51"/>
        <v>0</v>
      </c>
      <c r="BF392">
        <f t="shared" si="51"/>
        <v>0</v>
      </c>
      <c r="BG392">
        <f t="shared" si="51"/>
        <v>0</v>
      </c>
      <c r="BH392">
        <f t="shared" si="51"/>
        <v>0</v>
      </c>
      <c r="BI392">
        <f t="shared" si="51"/>
        <v>0</v>
      </c>
      <c r="BJ392">
        <f t="shared" si="51"/>
        <v>0</v>
      </c>
      <c r="BK392">
        <f t="shared" si="51"/>
        <v>0</v>
      </c>
      <c r="BL392">
        <f t="shared" si="51"/>
        <v>0</v>
      </c>
      <c r="BM392">
        <f t="shared" si="51"/>
        <v>0</v>
      </c>
      <c r="BN392">
        <f t="shared" si="51"/>
        <v>0</v>
      </c>
      <c r="BO392">
        <f t="shared" si="52"/>
        <v>0</v>
      </c>
      <c r="BP392">
        <f t="shared" si="52"/>
        <v>0</v>
      </c>
      <c r="BQ392">
        <f t="shared" si="52"/>
        <v>0</v>
      </c>
      <c r="BR392">
        <f t="shared" si="52"/>
        <v>0</v>
      </c>
      <c r="BS392">
        <f t="shared" si="52"/>
        <v>0</v>
      </c>
      <c r="BT392">
        <f t="shared" si="52"/>
        <v>0</v>
      </c>
      <c r="BU392">
        <f t="shared" si="52"/>
        <v>0</v>
      </c>
      <c r="BV392">
        <f t="shared" si="52"/>
        <v>0</v>
      </c>
      <c r="BW392">
        <f t="shared" si="52"/>
        <v>0</v>
      </c>
      <c r="BX392">
        <f t="shared" si="52"/>
        <v>0</v>
      </c>
      <c r="BY392">
        <f t="shared" si="53"/>
        <v>0</v>
      </c>
      <c r="BZ392">
        <f t="shared" si="53"/>
        <v>0</v>
      </c>
      <c r="CA392">
        <f t="shared" si="53"/>
        <v>0</v>
      </c>
      <c r="CB392">
        <f t="shared" si="53"/>
        <v>0</v>
      </c>
      <c r="CC392">
        <f t="shared" si="53"/>
        <v>0</v>
      </c>
      <c r="CD392">
        <f t="shared" si="53"/>
        <v>0</v>
      </c>
      <c r="CE392">
        <f t="shared" si="53"/>
        <v>0</v>
      </c>
      <c r="CF392">
        <f t="shared" si="53"/>
        <v>0</v>
      </c>
      <c r="CG392">
        <f t="shared" si="53"/>
        <v>0</v>
      </c>
      <c r="CH392">
        <f t="shared" si="53"/>
        <v>0</v>
      </c>
      <c r="CI392">
        <f t="shared" si="54"/>
        <v>0</v>
      </c>
      <c r="CJ392">
        <f t="shared" si="54"/>
        <v>0</v>
      </c>
      <c r="CK392">
        <f t="shared" si="54"/>
        <v>0</v>
      </c>
      <c r="CL392">
        <f t="shared" si="54"/>
        <v>0</v>
      </c>
      <c r="CM392">
        <f t="shared" si="54"/>
        <v>0</v>
      </c>
      <c r="CN392">
        <f t="shared" si="54"/>
        <v>0</v>
      </c>
      <c r="CO392">
        <f t="shared" si="54"/>
        <v>0</v>
      </c>
      <c r="CP392">
        <f t="shared" si="54"/>
        <v>0</v>
      </c>
      <c r="CQ392">
        <f t="shared" si="54"/>
        <v>0</v>
      </c>
      <c r="CR392">
        <f t="shared" si="54"/>
        <v>0</v>
      </c>
      <c r="CS392">
        <f t="shared" si="55"/>
        <v>0</v>
      </c>
      <c r="CT392">
        <f t="shared" si="55"/>
        <v>0</v>
      </c>
      <c r="CU392">
        <f t="shared" si="55"/>
        <v>0</v>
      </c>
      <c r="CV392">
        <f t="shared" si="55"/>
        <v>0</v>
      </c>
      <c r="CW392">
        <f t="shared" si="55"/>
        <v>0</v>
      </c>
      <c r="CX392">
        <f t="shared" si="55"/>
        <v>0</v>
      </c>
      <c r="CY392">
        <f t="shared" si="55"/>
        <v>0</v>
      </c>
      <c r="CZ392">
        <f t="shared" si="55"/>
        <v>0</v>
      </c>
      <c r="DA392">
        <f t="shared" si="55"/>
        <v>0</v>
      </c>
      <c r="DB392">
        <f t="shared" si="55"/>
        <v>0</v>
      </c>
      <c r="DD392" s="8">
        <f t="shared" si="22"/>
        <v>-12</v>
      </c>
      <c r="DF392" t="e">
        <f t="shared" ca="1" si="23"/>
        <v>#N/A</v>
      </c>
      <c r="DG392" t="e">
        <f t="shared" ca="1" si="24"/>
        <v>#N/A</v>
      </c>
      <c r="DH392" t="e">
        <f ca="1">SUM($DF$360:DF392)/$DG$359</f>
        <v>#N/A</v>
      </c>
      <c r="DI392" t="e">
        <f t="shared" ca="1" si="25"/>
        <v>#N/A</v>
      </c>
      <c r="DK392">
        <v>33</v>
      </c>
      <c r="DP392" s="1"/>
      <c r="DQ392" s="1"/>
      <c r="DR392" s="1"/>
      <c r="DS392" s="1"/>
      <c r="DT392" s="1"/>
      <c r="DU392" s="1"/>
      <c r="DV392" s="1"/>
      <c r="DW392" s="1"/>
      <c r="DX392" s="1"/>
      <c r="DY392" s="1"/>
      <c r="DZ392" s="1"/>
      <c r="EA392" s="1"/>
    </row>
    <row r="393" spans="7:131" x14ac:dyDescent="0.25">
      <c r="G393" t="e">
        <f t="shared" ca="1" si="46"/>
        <v>#N/A</v>
      </c>
      <c r="H393" t="e">
        <f t="shared" ca="1" si="46"/>
        <v>#N/A</v>
      </c>
      <c r="I393" t="e">
        <f t="shared" ca="1" si="46"/>
        <v>#N/A</v>
      </c>
      <c r="J393" t="e">
        <f t="shared" ca="1" si="46"/>
        <v>#N/A</v>
      </c>
      <c r="K393" t="e">
        <f t="shared" ca="1" si="46"/>
        <v>#N/A</v>
      </c>
      <c r="L393" t="e">
        <f t="shared" ca="1" si="46"/>
        <v>#N/A</v>
      </c>
      <c r="M393" t="e">
        <f t="shared" ca="1" si="46"/>
        <v>#N/A</v>
      </c>
      <c r="N393" t="e">
        <f t="shared" ca="1" si="46"/>
        <v>#N/A</v>
      </c>
      <c r="O393" t="e">
        <f t="shared" ca="1" si="46"/>
        <v>#N/A</v>
      </c>
      <c r="P393" t="e">
        <f t="shared" ca="1" si="46"/>
        <v>#N/A</v>
      </c>
      <c r="Q393" t="e">
        <f t="shared" ca="1" si="47"/>
        <v>#N/A</v>
      </c>
      <c r="R393" t="e">
        <f t="shared" ca="1" si="47"/>
        <v>#N/A</v>
      </c>
      <c r="S393" t="e">
        <f t="shared" ca="1" si="47"/>
        <v>#N/A</v>
      </c>
      <c r="T393" t="e">
        <f t="shared" ca="1" si="47"/>
        <v>#N/A</v>
      </c>
      <c r="U393" t="e">
        <f t="shared" ca="1" si="47"/>
        <v>#N/A</v>
      </c>
      <c r="V393" t="e">
        <f t="shared" ca="1" si="47"/>
        <v>#N/A</v>
      </c>
      <c r="W393" t="e">
        <f t="shared" ca="1" si="47"/>
        <v>#N/A</v>
      </c>
      <c r="X393" t="e">
        <f t="shared" ca="1" si="47"/>
        <v>#N/A</v>
      </c>
      <c r="Y393" t="e">
        <f t="shared" ca="1" si="47"/>
        <v>#N/A</v>
      </c>
      <c r="Z393" t="e">
        <f t="shared" ca="1" si="47"/>
        <v>#N/A</v>
      </c>
      <c r="AA393" t="e">
        <f t="shared" ca="1" si="48"/>
        <v>#N/A</v>
      </c>
      <c r="AB393" t="e">
        <f t="shared" ca="1" si="48"/>
        <v>#N/A</v>
      </c>
      <c r="AC393" t="e">
        <f t="shared" ca="1" si="48"/>
        <v>#N/A</v>
      </c>
      <c r="AD393" t="e">
        <f t="shared" ca="1" si="48"/>
        <v>#N/A</v>
      </c>
      <c r="AE393" t="e">
        <f t="shared" ca="1" si="48"/>
        <v>#N/A</v>
      </c>
      <c r="AF393" t="e">
        <f t="shared" ca="1" si="48"/>
        <v>#N/A</v>
      </c>
      <c r="AG393" t="e">
        <f t="shared" ca="1" si="48"/>
        <v>#N/A</v>
      </c>
      <c r="AH393" t="e">
        <f t="shared" ca="1" si="48"/>
        <v>#N/A</v>
      </c>
      <c r="AI393" t="e">
        <f t="shared" ca="1" si="48"/>
        <v>#N/A</v>
      </c>
      <c r="AJ393" t="e">
        <f t="shared" ca="1" si="48"/>
        <v>#N/A</v>
      </c>
      <c r="AK393" t="e">
        <f t="shared" ca="1" si="49"/>
        <v>#N/A</v>
      </c>
      <c r="AL393" t="e">
        <f t="shared" ca="1" si="49"/>
        <v>#N/A</v>
      </c>
      <c r="AM393" t="e">
        <f t="shared" ca="1" si="49"/>
        <v>#N/A</v>
      </c>
      <c r="AN393" t="e">
        <f t="shared" ca="1" si="49"/>
        <v>#N/A</v>
      </c>
      <c r="AO393" t="e">
        <f t="shared" ca="1" si="49"/>
        <v>#N/A</v>
      </c>
      <c r="AP393" t="e">
        <f t="shared" ca="1" si="49"/>
        <v>#N/A</v>
      </c>
      <c r="AQ393" t="e">
        <f t="shared" ca="1" si="49"/>
        <v>#N/A</v>
      </c>
      <c r="AR393">
        <f t="shared" si="49"/>
        <v>0</v>
      </c>
      <c r="AS393">
        <f t="shared" si="49"/>
        <v>0</v>
      </c>
      <c r="AT393">
        <f t="shared" si="49"/>
        <v>0</v>
      </c>
      <c r="AU393">
        <f t="shared" si="50"/>
        <v>0</v>
      </c>
      <c r="AV393">
        <f t="shared" si="50"/>
        <v>0</v>
      </c>
      <c r="AW393">
        <f t="shared" si="50"/>
        <v>0</v>
      </c>
      <c r="AX393">
        <f t="shared" si="50"/>
        <v>0</v>
      </c>
      <c r="AY393">
        <f t="shared" si="50"/>
        <v>0</v>
      </c>
      <c r="AZ393">
        <f t="shared" si="50"/>
        <v>0</v>
      </c>
      <c r="BA393">
        <f t="shared" si="50"/>
        <v>0</v>
      </c>
      <c r="BB393">
        <f t="shared" si="50"/>
        <v>0</v>
      </c>
      <c r="BC393">
        <f t="shared" si="50"/>
        <v>0</v>
      </c>
      <c r="BD393">
        <f t="shared" si="50"/>
        <v>0</v>
      </c>
      <c r="BE393">
        <f t="shared" si="51"/>
        <v>0</v>
      </c>
      <c r="BF393">
        <f t="shared" si="51"/>
        <v>0</v>
      </c>
      <c r="BG393">
        <f t="shared" si="51"/>
        <v>0</v>
      </c>
      <c r="BH393">
        <f t="shared" si="51"/>
        <v>0</v>
      </c>
      <c r="BI393">
        <f t="shared" si="51"/>
        <v>0</v>
      </c>
      <c r="BJ393">
        <f t="shared" si="51"/>
        <v>0</v>
      </c>
      <c r="BK393">
        <f t="shared" si="51"/>
        <v>0</v>
      </c>
      <c r="BL393">
        <f t="shared" si="51"/>
        <v>0</v>
      </c>
      <c r="BM393">
        <f t="shared" si="51"/>
        <v>0</v>
      </c>
      <c r="BN393">
        <f t="shared" si="51"/>
        <v>0</v>
      </c>
      <c r="BO393">
        <f t="shared" si="52"/>
        <v>0</v>
      </c>
      <c r="BP393">
        <f t="shared" si="52"/>
        <v>0</v>
      </c>
      <c r="BQ393">
        <f t="shared" si="52"/>
        <v>0</v>
      </c>
      <c r="BR393">
        <f t="shared" si="52"/>
        <v>0</v>
      </c>
      <c r="BS393">
        <f t="shared" si="52"/>
        <v>0</v>
      </c>
      <c r="BT393">
        <f t="shared" si="52"/>
        <v>0</v>
      </c>
      <c r="BU393">
        <f t="shared" si="52"/>
        <v>0</v>
      </c>
      <c r="BV393">
        <f t="shared" si="52"/>
        <v>0</v>
      </c>
      <c r="BW393">
        <f t="shared" si="52"/>
        <v>0</v>
      </c>
      <c r="BX393">
        <f t="shared" si="52"/>
        <v>0</v>
      </c>
      <c r="BY393">
        <f t="shared" si="53"/>
        <v>0</v>
      </c>
      <c r="BZ393">
        <f t="shared" si="53"/>
        <v>0</v>
      </c>
      <c r="CA393">
        <f t="shared" si="53"/>
        <v>0</v>
      </c>
      <c r="CB393">
        <f t="shared" si="53"/>
        <v>0</v>
      </c>
      <c r="CC393">
        <f t="shared" si="53"/>
        <v>0</v>
      </c>
      <c r="CD393">
        <f t="shared" si="53"/>
        <v>0</v>
      </c>
      <c r="CE393">
        <f t="shared" si="53"/>
        <v>0</v>
      </c>
      <c r="CF393">
        <f t="shared" si="53"/>
        <v>0</v>
      </c>
      <c r="CG393">
        <f t="shared" si="53"/>
        <v>0</v>
      </c>
      <c r="CH393">
        <f t="shared" si="53"/>
        <v>0</v>
      </c>
      <c r="CI393">
        <f t="shared" si="54"/>
        <v>0</v>
      </c>
      <c r="CJ393">
        <f t="shared" si="54"/>
        <v>0</v>
      </c>
      <c r="CK393">
        <f t="shared" si="54"/>
        <v>0</v>
      </c>
      <c r="CL393">
        <f t="shared" si="54"/>
        <v>0</v>
      </c>
      <c r="CM393">
        <f t="shared" si="54"/>
        <v>0</v>
      </c>
      <c r="CN393">
        <f t="shared" si="54"/>
        <v>0</v>
      </c>
      <c r="CO393">
        <f t="shared" si="54"/>
        <v>0</v>
      </c>
      <c r="CP393">
        <f t="shared" si="54"/>
        <v>0</v>
      </c>
      <c r="CQ393">
        <f t="shared" si="54"/>
        <v>0</v>
      </c>
      <c r="CR393">
        <f t="shared" si="54"/>
        <v>0</v>
      </c>
      <c r="CS393">
        <f t="shared" si="55"/>
        <v>0</v>
      </c>
      <c r="CT393">
        <f t="shared" si="55"/>
        <v>0</v>
      </c>
      <c r="CU393">
        <f t="shared" si="55"/>
        <v>0</v>
      </c>
      <c r="CV393">
        <f t="shared" si="55"/>
        <v>0</v>
      </c>
      <c r="CW393">
        <f t="shared" si="55"/>
        <v>0</v>
      </c>
      <c r="CX393">
        <f t="shared" si="55"/>
        <v>0</v>
      </c>
      <c r="CY393">
        <f t="shared" si="55"/>
        <v>0</v>
      </c>
      <c r="CZ393">
        <f t="shared" si="55"/>
        <v>0</v>
      </c>
      <c r="DA393">
        <f t="shared" si="55"/>
        <v>0</v>
      </c>
      <c r="DB393">
        <f t="shared" si="55"/>
        <v>0</v>
      </c>
      <c r="DD393" s="8">
        <f t="shared" si="22"/>
        <v>-13</v>
      </c>
      <c r="DF393" t="e">
        <f t="shared" ca="1" si="23"/>
        <v>#N/A</v>
      </c>
      <c r="DG393" t="e">
        <f t="shared" ca="1" si="24"/>
        <v>#N/A</v>
      </c>
      <c r="DH393" t="e">
        <f ca="1">SUM($DF$360:DF393)/$DG$359</f>
        <v>#N/A</v>
      </c>
      <c r="DI393" t="e">
        <f t="shared" ca="1" si="25"/>
        <v>#N/A</v>
      </c>
      <c r="DK393">
        <v>34</v>
      </c>
      <c r="DP393" s="1"/>
      <c r="DQ393" s="1"/>
      <c r="DR393" s="1"/>
      <c r="DS393" s="1"/>
      <c r="DT393" s="1"/>
      <c r="DU393" s="1"/>
      <c r="DV393" s="1"/>
      <c r="DW393" s="1"/>
      <c r="DX393" s="1"/>
      <c r="DY393" s="1"/>
      <c r="DZ393" s="1"/>
      <c r="EA393" s="1"/>
    </row>
    <row r="394" spans="7:131" x14ac:dyDescent="0.25">
      <c r="G394" t="e">
        <f t="shared" ca="1" si="46"/>
        <v>#N/A</v>
      </c>
      <c r="H394" t="e">
        <f t="shared" ca="1" si="46"/>
        <v>#N/A</v>
      </c>
      <c r="I394" t="e">
        <f t="shared" ca="1" si="46"/>
        <v>#N/A</v>
      </c>
      <c r="J394" t="e">
        <f t="shared" ca="1" si="46"/>
        <v>#N/A</v>
      </c>
      <c r="K394" t="e">
        <f t="shared" ca="1" si="46"/>
        <v>#N/A</v>
      </c>
      <c r="L394" t="e">
        <f t="shared" ca="1" si="46"/>
        <v>#N/A</v>
      </c>
      <c r="M394" t="e">
        <f t="shared" ca="1" si="46"/>
        <v>#N/A</v>
      </c>
      <c r="N394" t="e">
        <f t="shared" ca="1" si="46"/>
        <v>#N/A</v>
      </c>
      <c r="O394" t="e">
        <f t="shared" ca="1" si="46"/>
        <v>#N/A</v>
      </c>
      <c r="P394" t="e">
        <f t="shared" ca="1" si="46"/>
        <v>#N/A</v>
      </c>
      <c r="Q394" t="e">
        <f t="shared" ca="1" si="47"/>
        <v>#N/A</v>
      </c>
      <c r="R394" t="e">
        <f t="shared" ca="1" si="47"/>
        <v>#N/A</v>
      </c>
      <c r="S394" t="e">
        <f t="shared" ca="1" si="47"/>
        <v>#N/A</v>
      </c>
      <c r="T394" t="e">
        <f t="shared" ca="1" si="47"/>
        <v>#N/A</v>
      </c>
      <c r="U394" t="e">
        <f t="shared" ca="1" si="47"/>
        <v>#N/A</v>
      </c>
      <c r="V394" t="e">
        <f t="shared" ca="1" si="47"/>
        <v>#N/A</v>
      </c>
      <c r="W394" t="e">
        <f t="shared" ca="1" si="47"/>
        <v>#N/A</v>
      </c>
      <c r="X394" t="e">
        <f t="shared" ca="1" si="47"/>
        <v>#N/A</v>
      </c>
      <c r="Y394" t="e">
        <f t="shared" ca="1" si="47"/>
        <v>#N/A</v>
      </c>
      <c r="Z394" t="e">
        <f t="shared" ca="1" si="47"/>
        <v>#N/A</v>
      </c>
      <c r="AA394" t="e">
        <f t="shared" ca="1" si="48"/>
        <v>#N/A</v>
      </c>
      <c r="AB394" t="e">
        <f t="shared" ca="1" si="48"/>
        <v>#N/A</v>
      </c>
      <c r="AC394" t="e">
        <f t="shared" ca="1" si="48"/>
        <v>#N/A</v>
      </c>
      <c r="AD394" t="e">
        <f t="shared" ca="1" si="48"/>
        <v>#N/A</v>
      </c>
      <c r="AE394" t="e">
        <f t="shared" ca="1" si="48"/>
        <v>#N/A</v>
      </c>
      <c r="AF394" t="e">
        <f t="shared" ca="1" si="48"/>
        <v>#N/A</v>
      </c>
      <c r="AG394" t="e">
        <f t="shared" ca="1" si="48"/>
        <v>#N/A</v>
      </c>
      <c r="AH394" t="e">
        <f t="shared" ca="1" si="48"/>
        <v>#N/A</v>
      </c>
      <c r="AI394" t="e">
        <f t="shared" ca="1" si="48"/>
        <v>#N/A</v>
      </c>
      <c r="AJ394" t="e">
        <f t="shared" ca="1" si="48"/>
        <v>#N/A</v>
      </c>
      <c r="AK394" t="e">
        <f t="shared" ca="1" si="49"/>
        <v>#N/A</v>
      </c>
      <c r="AL394" t="e">
        <f t="shared" ca="1" si="49"/>
        <v>#N/A</v>
      </c>
      <c r="AM394" t="e">
        <f t="shared" ca="1" si="49"/>
        <v>#N/A</v>
      </c>
      <c r="AN394" t="e">
        <f t="shared" ca="1" si="49"/>
        <v>#N/A</v>
      </c>
      <c r="AO394" t="e">
        <f t="shared" ca="1" si="49"/>
        <v>#N/A</v>
      </c>
      <c r="AP394" t="e">
        <f t="shared" ca="1" si="49"/>
        <v>#N/A</v>
      </c>
      <c r="AQ394">
        <f t="shared" si="49"/>
        <v>0</v>
      </c>
      <c r="AR394">
        <f t="shared" si="49"/>
        <v>0</v>
      </c>
      <c r="AS394">
        <f t="shared" si="49"/>
        <v>0</v>
      </c>
      <c r="AT394">
        <f t="shared" si="49"/>
        <v>0</v>
      </c>
      <c r="AU394">
        <f t="shared" si="50"/>
        <v>0</v>
      </c>
      <c r="AV394">
        <f t="shared" si="50"/>
        <v>0</v>
      </c>
      <c r="AW394">
        <f t="shared" si="50"/>
        <v>0</v>
      </c>
      <c r="AX394">
        <f t="shared" si="50"/>
        <v>0</v>
      </c>
      <c r="AY394">
        <f t="shared" si="50"/>
        <v>0</v>
      </c>
      <c r="AZ394">
        <f t="shared" si="50"/>
        <v>0</v>
      </c>
      <c r="BA394">
        <f t="shared" si="50"/>
        <v>0</v>
      </c>
      <c r="BB394">
        <f t="shared" si="50"/>
        <v>0</v>
      </c>
      <c r="BC394">
        <f t="shared" si="50"/>
        <v>0</v>
      </c>
      <c r="BD394">
        <f t="shared" si="50"/>
        <v>0</v>
      </c>
      <c r="BE394">
        <f t="shared" si="51"/>
        <v>0</v>
      </c>
      <c r="BF394">
        <f t="shared" si="51"/>
        <v>0</v>
      </c>
      <c r="BG394">
        <f t="shared" si="51"/>
        <v>0</v>
      </c>
      <c r="BH394">
        <f t="shared" si="51"/>
        <v>0</v>
      </c>
      <c r="BI394">
        <f t="shared" si="51"/>
        <v>0</v>
      </c>
      <c r="BJ394">
        <f t="shared" si="51"/>
        <v>0</v>
      </c>
      <c r="BK394">
        <f t="shared" si="51"/>
        <v>0</v>
      </c>
      <c r="BL394">
        <f t="shared" si="51"/>
        <v>0</v>
      </c>
      <c r="BM394">
        <f t="shared" si="51"/>
        <v>0</v>
      </c>
      <c r="BN394">
        <f t="shared" si="51"/>
        <v>0</v>
      </c>
      <c r="BO394">
        <f t="shared" si="52"/>
        <v>0</v>
      </c>
      <c r="BP394">
        <f t="shared" si="52"/>
        <v>0</v>
      </c>
      <c r="BQ394">
        <f t="shared" si="52"/>
        <v>0</v>
      </c>
      <c r="BR394">
        <f t="shared" si="52"/>
        <v>0</v>
      </c>
      <c r="BS394">
        <f t="shared" si="52"/>
        <v>0</v>
      </c>
      <c r="BT394">
        <f t="shared" si="52"/>
        <v>0</v>
      </c>
      <c r="BU394">
        <f t="shared" si="52"/>
        <v>0</v>
      </c>
      <c r="BV394">
        <f t="shared" si="52"/>
        <v>0</v>
      </c>
      <c r="BW394">
        <f t="shared" si="52"/>
        <v>0</v>
      </c>
      <c r="BX394">
        <f t="shared" si="52"/>
        <v>0</v>
      </c>
      <c r="BY394">
        <f t="shared" si="53"/>
        <v>0</v>
      </c>
      <c r="BZ394">
        <f t="shared" si="53"/>
        <v>0</v>
      </c>
      <c r="CA394">
        <f t="shared" si="53"/>
        <v>0</v>
      </c>
      <c r="CB394">
        <f t="shared" si="53"/>
        <v>0</v>
      </c>
      <c r="CC394">
        <f t="shared" si="53"/>
        <v>0</v>
      </c>
      <c r="CD394">
        <f t="shared" si="53"/>
        <v>0</v>
      </c>
      <c r="CE394">
        <f t="shared" si="53"/>
        <v>0</v>
      </c>
      <c r="CF394">
        <f t="shared" si="53"/>
        <v>0</v>
      </c>
      <c r="CG394">
        <f t="shared" si="53"/>
        <v>0</v>
      </c>
      <c r="CH394">
        <f t="shared" si="53"/>
        <v>0</v>
      </c>
      <c r="CI394">
        <f t="shared" si="54"/>
        <v>0</v>
      </c>
      <c r="CJ394">
        <f t="shared" si="54"/>
        <v>0</v>
      </c>
      <c r="CK394">
        <f t="shared" si="54"/>
        <v>0</v>
      </c>
      <c r="CL394">
        <f t="shared" si="54"/>
        <v>0</v>
      </c>
      <c r="CM394">
        <f t="shared" si="54"/>
        <v>0</v>
      </c>
      <c r="CN394">
        <f t="shared" si="54"/>
        <v>0</v>
      </c>
      <c r="CO394">
        <f t="shared" si="54"/>
        <v>0</v>
      </c>
      <c r="CP394">
        <f t="shared" si="54"/>
        <v>0</v>
      </c>
      <c r="CQ394">
        <f t="shared" si="54"/>
        <v>0</v>
      </c>
      <c r="CR394">
        <f t="shared" si="54"/>
        <v>0</v>
      </c>
      <c r="CS394">
        <f t="shared" si="55"/>
        <v>0</v>
      </c>
      <c r="CT394">
        <f t="shared" si="55"/>
        <v>0</v>
      </c>
      <c r="CU394">
        <f t="shared" si="55"/>
        <v>0</v>
      </c>
      <c r="CV394">
        <f t="shared" si="55"/>
        <v>0</v>
      </c>
      <c r="CW394">
        <f t="shared" si="55"/>
        <v>0</v>
      </c>
      <c r="CX394">
        <f t="shared" si="55"/>
        <v>0</v>
      </c>
      <c r="CY394">
        <f t="shared" si="55"/>
        <v>0</v>
      </c>
      <c r="CZ394">
        <f t="shared" si="55"/>
        <v>0</v>
      </c>
      <c r="DA394">
        <f t="shared" si="55"/>
        <v>0</v>
      </c>
      <c r="DB394">
        <f t="shared" si="55"/>
        <v>0</v>
      </c>
      <c r="DD394" s="8">
        <f t="shared" si="22"/>
        <v>-14</v>
      </c>
      <c r="DF394" t="e">
        <f t="shared" ca="1" si="23"/>
        <v>#N/A</v>
      </c>
      <c r="DG394" t="e">
        <f t="shared" ca="1" si="24"/>
        <v>#N/A</v>
      </c>
      <c r="DH394" t="e">
        <f ca="1">SUM($DF$360:DF394)/$DG$359</f>
        <v>#N/A</v>
      </c>
      <c r="DI394" t="e">
        <f t="shared" ca="1" si="25"/>
        <v>#N/A</v>
      </c>
      <c r="DK394">
        <v>35</v>
      </c>
      <c r="DP394" s="1"/>
      <c r="DQ394" s="1"/>
      <c r="DR394" s="1"/>
      <c r="DS394" s="1"/>
      <c r="DT394" s="1"/>
      <c r="DU394" s="1"/>
      <c r="DV394" s="1"/>
      <c r="DW394" s="1"/>
      <c r="DX394" s="1"/>
      <c r="DY394" s="1"/>
      <c r="DZ394" s="1"/>
      <c r="EA394" s="1"/>
    </row>
    <row r="395" spans="7:131" x14ac:dyDescent="0.25">
      <c r="G395" t="e">
        <f t="shared" ca="1" si="46"/>
        <v>#N/A</v>
      </c>
      <c r="H395" t="e">
        <f t="shared" ca="1" si="46"/>
        <v>#N/A</v>
      </c>
      <c r="I395" t="e">
        <f t="shared" ca="1" si="46"/>
        <v>#N/A</v>
      </c>
      <c r="J395" t="e">
        <f t="shared" ca="1" si="46"/>
        <v>#N/A</v>
      </c>
      <c r="K395" t="e">
        <f t="shared" ca="1" si="46"/>
        <v>#N/A</v>
      </c>
      <c r="L395" t="e">
        <f t="shared" ca="1" si="46"/>
        <v>#N/A</v>
      </c>
      <c r="M395" t="e">
        <f t="shared" ca="1" si="46"/>
        <v>#N/A</v>
      </c>
      <c r="N395" t="e">
        <f t="shared" ca="1" si="46"/>
        <v>#N/A</v>
      </c>
      <c r="O395" t="e">
        <f t="shared" ca="1" si="46"/>
        <v>#N/A</v>
      </c>
      <c r="P395" t="e">
        <f t="shared" ca="1" si="46"/>
        <v>#N/A</v>
      </c>
      <c r="Q395" t="e">
        <f t="shared" ca="1" si="47"/>
        <v>#N/A</v>
      </c>
      <c r="R395" t="e">
        <f t="shared" ca="1" si="47"/>
        <v>#N/A</v>
      </c>
      <c r="S395" t="e">
        <f t="shared" ca="1" si="47"/>
        <v>#N/A</v>
      </c>
      <c r="T395" t="e">
        <f t="shared" ca="1" si="47"/>
        <v>#N/A</v>
      </c>
      <c r="U395" t="e">
        <f t="shared" ca="1" si="47"/>
        <v>#N/A</v>
      </c>
      <c r="V395" t="e">
        <f t="shared" ca="1" si="47"/>
        <v>#N/A</v>
      </c>
      <c r="W395" t="e">
        <f t="shared" ca="1" si="47"/>
        <v>#N/A</v>
      </c>
      <c r="X395" t="e">
        <f t="shared" ca="1" si="47"/>
        <v>#N/A</v>
      </c>
      <c r="Y395" t="e">
        <f t="shared" ca="1" si="47"/>
        <v>#N/A</v>
      </c>
      <c r="Z395" t="e">
        <f t="shared" ca="1" si="47"/>
        <v>#N/A</v>
      </c>
      <c r="AA395" t="e">
        <f t="shared" ca="1" si="48"/>
        <v>#N/A</v>
      </c>
      <c r="AB395" t="e">
        <f t="shared" ca="1" si="48"/>
        <v>#N/A</v>
      </c>
      <c r="AC395" t="e">
        <f t="shared" ca="1" si="48"/>
        <v>#N/A</v>
      </c>
      <c r="AD395" t="e">
        <f t="shared" ca="1" si="48"/>
        <v>#N/A</v>
      </c>
      <c r="AE395" t="e">
        <f t="shared" ca="1" si="48"/>
        <v>#N/A</v>
      </c>
      <c r="AF395" t="e">
        <f t="shared" ca="1" si="48"/>
        <v>#N/A</v>
      </c>
      <c r="AG395" t="e">
        <f t="shared" ca="1" si="48"/>
        <v>#N/A</v>
      </c>
      <c r="AH395" t="e">
        <f t="shared" ca="1" si="48"/>
        <v>#N/A</v>
      </c>
      <c r="AI395" t="e">
        <f t="shared" ca="1" si="48"/>
        <v>#N/A</v>
      </c>
      <c r="AJ395" t="e">
        <f t="shared" ca="1" si="48"/>
        <v>#N/A</v>
      </c>
      <c r="AK395" t="e">
        <f t="shared" ca="1" si="49"/>
        <v>#N/A</v>
      </c>
      <c r="AL395" t="e">
        <f t="shared" ca="1" si="49"/>
        <v>#N/A</v>
      </c>
      <c r="AM395" t="e">
        <f t="shared" ca="1" si="49"/>
        <v>#N/A</v>
      </c>
      <c r="AN395" t="e">
        <f t="shared" ca="1" si="49"/>
        <v>#N/A</v>
      </c>
      <c r="AO395" t="e">
        <f t="shared" ca="1" si="49"/>
        <v>#N/A</v>
      </c>
      <c r="AP395">
        <f t="shared" si="49"/>
        <v>0</v>
      </c>
      <c r="AQ395">
        <f t="shared" si="49"/>
        <v>0</v>
      </c>
      <c r="AR395">
        <f t="shared" si="49"/>
        <v>0</v>
      </c>
      <c r="AS395">
        <f t="shared" si="49"/>
        <v>0</v>
      </c>
      <c r="AT395">
        <f t="shared" si="49"/>
        <v>0</v>
      </c>
      <c r="AU395">
        <f t="shared" si="50"/>
        <v>0</v>
      </c>
      <c r="AV395">
        <f t="shared" si="50"/>
        <v>0</v>
      </c>
      <c r="AW395">
        <f t="shared" si="50"/>
        <v>0</v>
      </c>
      <c r="AX395">
        <f t="shared" si="50"/>
        <v>0</v>
      </c>
      <c r="AY395">
        <f t="shared" si="50"/>
        <v>0</v>
      </c>
      <c r="AZ395">
        <f t="shared" si="50"/>
        <v>0</v>
      </c>
      <c r="BA395">
        <f t="shared" si="50"/>
        <v>0</v>
      </c>
      <c r="BB395">
        <f t="shared" si="50"/>
        <v>0</v>
      </c>
      <c r="BC395">
        <f t="shared" si="50"/>
        <v>0</v>
      </c>
      <c r="BD395">
        <f t="shared" si="50"/>
        <v>0</v>
      </c>
      <c r="BE395">
        <f t="shared" si="51"/>
        <v>0</v>
      </c>
      <c r="BF395">
        <f t="shared" si="51"/>
        <v>0</v>
      </c>
      <c r="BG395">
        <f t="shared" si="51"/>
        <v>0</v>
      </c>
      <c r="BH395">
        <f t="shared" si="51"/>
        <v>0</v>
      </c>
      <c r="BI395">
        <f t="shared" si="51"/>
        <v>0</v>
      </c>
      <c r="BJ395">
        <f t="shared" si="51"/>
        <v>0</v>
      </c>
      <c r="BK395">
        <f t="shared" si="51"/>
        <v>0</v>
      </c>
      <c r="BL395">
        <f t="shared" si="51"/>
        <v>0</v>
      </c>
      <c r="BM395">
        <f t="shared" si="51"/>
        <v>0</v>
      </c>
      <c r="BN395">
        <f t="shared" si="51"/>
        <v>0</v>
      </c>
      <c r="BO395">
        <f t="shared" si="52"/>
        <v>0</v>
      </c>
      <c r="BP395">
        <f t="shared" si="52"/>
        <v>0</v>
      </c>
      <c r="BQ395">
        <f t="shared" si="52"/>
        <v>0</v>
      </c>
      <c r="BR395">
        <f t="shared" si="52"/>
        <v>0</v>
      </c>
      <c r="BS395">
        <f t="shared" si="52"/>
        <v>0</v>
      </c>
      <c r="BT395">
        <f t="shared" si="52"/>
        <v>0</v>
      </c>
      <c r="BU395">
        <f t="shared" si="52"/>
        <v>0</v>
      </c>
      <c r="BV395">
        <f t="shared" si="52"/>
        <v>0</v>
      </c>
      <c r="BW395">
        <f t="shared" si="52"/>
        <v>0</v>
      </c>
      <c r="BX395">
        <f t="shared" si="52"/>
        <v>0</v>
      </c>
      <c r="BY395">
        <f t="shared" si="53"/>
        <v>0</v>
      </c>
      <c r="BZ395">
        <f t="shared" si="53"/>
        <v>0</v>
      </c>
      <c r="CA395">
        <f t="shared" si="53"/>
        <v>0</v>
      </c>
      <c r="CB395">
        <f t="shared" si="53"/>
        <v>0</v>
      </c>
      <c r="CC395">
        <f t="shared" si="53"/>
        <v>0</v>
      </c>
      <c r="CD395">
        <f t="shared" si="53"/>
        <v>0</v>
      </c>
      <c r="CE395">
        <f t="shared" si="53"/>
        <v>0</v>
      </c>
      <c r="CF395">
        <f t="shared" si="53"/>
        <v>0</v>
      </c>
      <c r="CG395">
        <f t="shared" si="53"/>
        <v>0</v>
      </c>
      <c r="CH395">
        <f t="shared" si="53"/>
        <v>0</v>
      </c>
      <c r="CI395">
        <f t="shared" si="54"/>
        <v>0</v>
      </c>
      <c r="CJ395">
        <f t="shared" si="54"/>
        <v>0</v>
      </c>
      <c r="CK395">
        <f t="shared" si="54"/>
        <v>0</v>
      </c>
      <c r="CL395">
        <f t="shared" si="54"/>
        <v>0</v>
      </c>
      <c r="CM395">
        <f t="shared" si="54"/>
        <v>0</v>
      </c>
      <c r="CN395">
        <f t="shared" si="54"/>
        <v>0</v>
      </c>
      <c r="CO395">
        <f t="shared" si="54"/>
        <v>0</v>
      </c>
      <c r="CP395">
        <f t="shared" si="54"/>
        <v>0</v>
      </c>
      <c r="CQ395">
        <f t="shared" si="54"/>
        <v>0</v>
      </c>
      <c r="CR395">
        <f t="shared" si="54"/>
        <v>0</v>
      </c>
      <c r="CS395">
        <f t="shared" si="55"/>
        <v>0</v>
      </c>
      <c r="CT395">
        <f t="shared" si="55"/>
        <v>0</v>
      </c>
      <c r="CU395">
        <f t="shared" si="55"/>
        <v>0</v>
      </c>
      <c r="CV395">
        <f t="shared" si="55"/>
        <v>0</v>
      </c>
      <c r="CW395">
        <f t="shared" si="55"/>
        <v>0</v>
      </c>
      <c r="CX395">
        <f t="shared" si="55"/>
        <v>0</v>
      </c>
      <c r="CY395">
        <f t="shared" si="55"/>
        <v>0</v>
      </c>
      <c r="CZ395">
        <f t="shared" si="55"/>
        <v>0</v>
      </c>
      <c r="DA395">
        <f t="shared" si="55"/>
        <v>0</v>
      </c>
      <c r="DB395">
        <f t="shared" si="55"/>
        <v>0</v>
      </c>
      <c r="DD395" s="8">
        <f t="shared" si="22"/>
        <v>-15</v>
      </c>
      <c r="DF395" t="e">
        <f t="shared" ca="1" si="23"/>
        <v>#N/A</v>
      </c>
      <c r="DG395" t="e">
        <f t="shared" ca="1" si="24"/>
        <v>#N/A</v>
      </c>
      <c r="DH395" t="e">
        <f ca="1">SUM($DF$360:DF395)/$DG$359</f>
        <v>#N/A</v>
      </c>
      <c r="DI395" t="e">
        <f t="shared" ca="1" si="25"/>
        <v>#N/A</v>
      </c>
      <c r="DK395">
        <v>36</v>
      </c>
      <c r="DP395" s="1"/>
      <c r="DQ395" s="1"/>
      <c r="DR395" s="1"/>
      <c r="DS395" s="1"/>
      <c r="DT395" s="1"/>
      <c r="DU395" s="1"/>
      <c r="DV395" s="1"/>
      <c r="DW395" s="1"/>
      <c r="DX395" s="1"/>
      <c r="DY395" s="1"/>
      <c r="DZ395" s="1"/>
      <c r="EA395" s="1"/>
    </row>
    <row r="396" spans="7:131" x14ac:dyDescent="0.25">
      <c r="G396" t="e">
        <f t="shared" ca="1" si="46"/>
        <v>#N/A</v>
      </c>
      <c r="H396" t="e">
        <f t="shared" ca="1" si="46"/>
        <v>#N/A</v>
      </c>
      <c r="I396" t="e">
        <f t="shared" ca="1" si="46"/>
        <v>#N/A</v>
      </c>
      <c r="J396" t="e">
        <f t="shared" ca="1" si="46"/>
        <v>#N/A</v>
      </c>
      <c r="K396" t="e">
        <f t="shared" ca="1" si="46"/>
        <v>#N/A</v>
      </c>
      <c r="L396" t="e">
        <f t="shared" ca="1" si="46"/>
        <v>#N/A</v>
      </c>
      <c r="M396" t="e">
        <f t="shared" ca="1" si="46"/>
        <v>#N/A</v>
      </c>
      <c r="N396" t="e">
        <f t="shared" ca="1" si="46"/>
        <v>#N/A</v>
      </c>
      <c r="O396" t="e">
        <f t="shared" ca="1" si="46"/>
        <v>#N/A</v>
      </c>
      <c r="P396" t="e">
        <f t="shared" ca="1" si="46"/>
        <v>#N/A</v>
      </c>
      <c r="Q396" t="e">
        <f t="shared" ca="1" si="47"/>
        <v>#N/A</v>
      </c>
      <c r="R396" t="e">
        <f t="shared" ca="1" si="47"/>
        <v>#N/A</v>
      </c>
      <c r="S396" t="e">
        <f t="shared" ca="1" si="47"/>
        <v>#N/A</v>
      </c>
      <c r="T396" t="e">
        <f t="shared" ca="1" si="47"/>
        <v>#N/A</v>
      </c>
      <c r="U396" t="e">
        <f t="shared" ca="1" si="47"/>
        <v>#N/A</v>
      </c>
      <c r="V396" t="e">
        <f t="shared" ca="1" si="47"/>
        <v>#N/A</v>
      </c>
      <c r="W396" t="e">
        <f t="shared" ca="1" si="47"/>
        <v>#N/A</v>
      </c>
      <c r="X396" t="e">
        <f t="shared" ca="1" si="47"/>
        <v>#N/A</v>
      </c>
      <c r="Y396" t="e">
        <f t="shared" ca="1" si="47"/>
        <v>#N/A</v>
      </c>
      <c r="Z396" t="e">
        <f t="shared" ca="1" si="47"/>
        <v>#N/A</v>
      </c>
      <c r="AA396" t="e">
        <f t="shared" ca="1" si="48"/>
        <v>#N/A</v>
      </c>
      <c r="AB396" t="e">
        <f t="shared" ca="1" si="48"/>
        <v>#N/A</v>
      </c>
      <c r="AC396" t="e">
        <f t="shared" ca="1" si="48"/>
        <v>#N/A</v>
      </c>
      <c r="AD396" t="e">
        <f t="shared" ca="1" si="48"/>
        <v>#N/A</v>
      </c>
      <c r="AE396" t="e">
        <f t="shared" ca="1" si="48"/>
        <v>#N/A</v>
      </c>
      <c r="AF396" t="e">
        <f t="shared" ca="1" si="48"/>
        <v>#N/A</v>
      </c>
      <c r="AG396" t="e">
        <f t="shared" ca="1" si="48"/>
        <v>#N/A</v>
      </c>
      <c r="AH396" t="e">
        <f t="shared" ca="1" si="48"/>
        <v>#N/A</v>
      </c>
      <c r="AI396" t="e">
        <f t="shared" ca="1" si="48"/>
        <v>#N/A</v>
      </c>
      <c r="AJ396" t="e">
        <f t="shared" ca="1" si="48"/>
        <v>#N/A</v>
      </c>
      <c r="AK396" t="e">
        <f t="shared" ca="1" si="49"/>
        <v>#N/A</v>
      </c>
      <c r="AL396" t="e">
        <f t="shared" ca="1" si="49"/>
        <v>#N/A</v>
      </c>
      <c r="AM396" t="e">
        <f t="shared" ca="1" si="49"/>
        <v>#N/A</v>
      </c>
      <c r="AN396" t="e">
        <f t="shared" ca="1" si="49"/>
        <v>#N/A</v>
      </c>
      <c r="AO396">
        <f t="shared" si="49"/>
        <v>0</v>
      </c>
      <c r="AP396">
        <f t="shared" si="49"/>
        <v>0</v>
      </c>
      <c r="AQ396">
        <f t="shared" si="49"/>
        <v>0</v>
      </c>
      <c r="AR396">
        <f t="shared" si="49"/>
        <v>0</v>
      </c>
      <c r="AS396">
        <f t="shared" si="49"/>
        <v>0</v>
      </c>
      <c r="AT396">
        <f t="shared" si="49"/>
        <v>0</v>
      </c>
      <c r="AU396">
        <f t="shared" si="50"/>
        <v>0</v>
      </c>
      <c r="AV396">
        <f t="shared" si="50"/>
        <v>0</v>
      </c>
      <c r="AW396">
        <f t="shared" si="50"/>
        <v>0</v>
      </c>
      <c r="AX396">
        <f t="shared" si="50"/>
        <v>0</v>
      </c>
      <c r="AY396">
        <f t="shared" si="50"/>
        <v>0</v>
      </c>
      <c r="AZ396">
        <f t="shared" si="50"/>
        <v>0</v>
      </c>
      <c r="BA396">
        <f t="shared" si="50"/>
        <v>0</v>
      </c>
      <c r="BB396">
        <f t="shared" si="50"/>
        <v>0</v>
      </c>
      <c r="BC396">
        <f t="shared" si="50"/>
        <v>0</v>
      </c>
      <c r="BD396">
        <f t="shared" si="50"/>
        <v>0</v>
      </c>
      <c r="BE396">
        <f t="shared" si="51"/>
        <v>0</v>
      </c>
      <c r="BF396">
        <f t="shared" si="51"/>
        <v>0</v>
      </c>
      <c r="BG396">
        <f t="shared" si="51"/>
        <v>0</v>
      </c>
      <c r="BH396">
        <f t="shared" si="51"/>
        <v>0</v>
      </c>
      <c r="BI396">
        <f t="shared" si="51"/>
        <v>0</v>
      </c>
      <c r="BJ396">
        <f t="shared" si="51"/>
        <v>0</v>
      </c>
      <c r="BK396">
        <f t="shared" si="51"/>
        <v>0</v>
      </c>
      <c r="BL396">
        <f t="shared" si="51"/>
        <v>0</v>
      </c>
      <c r="BM396">
        <f t="shared" si="51"/>
        <v>0</v>
      </c>
      <c r="BN396">
        <f t="shared" si="51"/>
        <v>0</v>
      </c>
      <c r="BO396">
        <f t="shared" si="52"/>
        <v>0</v>
      </c>
      <c r="BP396">
        <f t="shared" si="52"/>
        <v>0</v>
      </c>
      <c r="BQ396">
        <f t="shared" si="52"/>
        <v>0</v>
      </c>
      <c r="BR396">
        <f t="shared" si="52"/>
        <v>0</v>
      </c>
      <c r="BS396">
        <f t="shared" si="52"/>
        <v>0</v>
      </c>
      <c r="BT396">
        <f t="shared" si="52"/>
        <v>0</v>
      </c>
      <c r="BU396">
        <f t="shared" si="52"/>
        <v>0</v>
      </c>
      <c r="BV396">
        <f t="shared" si="52"/>
        <v>0</v>
      </c>
      <c r="BW396">
        <f t="shared" si="52"/>
        <v>0</v>
      </c>
      <c r="BX396">
        <f t="shared" si="52"/>
        <v>0</v>
      </c>
      <c r="BY396">
        <f t="shared" si="53"/>
        <v>0</v>
      </c>
      <c r="BZ396">
        <f t="shared" si="53"/>
        <v>0</v>
      </c>
      <c r="CA396">
        <f t="shared" si="53"/>
        <v>0</v>
      </c>
      <c r="CB396">
        <f t="shared" si="53"/>
        <v>0</v>
      </c>
      <c r="CC396">
        <f t="shared" si="53"/>
        <v>0</v>
      </c>
      <c r="CD396">
        <f t="shared" si="53"/>
        <v>0</v>
      </c>
      <c r="CE396">
        <f t="shared" si="53"/>
        <v>0</v>
      </c>
      <c r="CF396">
        <f t="shared" si="53"/>
        <v>0</v>
      </c>
      <c r="CG396">
        <f t="shared" si="53"/>
        <v>0</v>
      </c>
      <c r="CH396">
        <f t="shared" si="53"/>
        <v>0</v>
      </c>
      <c r="CI396">
        <f t="shared" si="54"/>
        <v>0</v>
      </c>
      <c r="CJ396">
        <f t="shared" si="54"/>
        <v>0</v>
      </c>
      <c r="CK396">
        <f t="shared" si="54"/>
        <v>0</v>
      </c>
      <c r="CL396">
        <f t="shared" si="54"/>
        <v>0</v>
      </c>
      <c r="CM396">
        <f t="shared" si="54"/>
        <v>0</v>
      </c>
      <c r="CN396">
        <f t="shared" si="54"/>
        <v>0</v>
      </c>
      <c r="CO396">
        <f t="shared" si="54"/>
        <v>0</v>
      </c>
      <c r="CP396">
        <f t="shared" si="54"/>
        <v>0</v>
      </c>
      <c r="CQ396">
        <f t="shared" si="54"/>
        <v>0</v>
      </c>
      <c r="CR396">
        <f t="shared" si="54"/>
        <v>0</v>
      </c>
      <c r="CS396">
        <f t="shared" si="55"/>
        <v>0</v>
      </c>
      <c r="CT396">
        <f t="shared" si="55"/>
        <v>0</v>
      </c>
      <c r="CU396">
        <f t="shared" si="55"/>
        <v>0</v>
      </c>
      <c r="CV396">
        <f t="shared" si="55"/>
        <v>0</v>
      </c>
      <c r="CW396">
        <f t="shared" si="55"/>
        <v>0</v>
      </c>
      <c r="CX396">
        <f t="shared" si="55"/>
        <v>0</v>
      </c>
      <c r="CY396">
        <f t="shared" si="55"/>
        <v>0</v>
      </c>
      <c r="CZ396">
        <f t="shared" si="55"/>
        <v>0</v>
      </c>
      <c r="DA396">
        <f t="shared" si="55"/>
        <v>0</v>
      </c>
      <c r="DB396">
        <f t="shared" si="55"/>
        <v>0</v>
      </c>
      <c r="DD396" s="8">
        <f t="shared" si="22"/>
        <v>-16</v>
      </c>
      <c r="DF396" t="e">
        <f t="shared" ca="1" si="23"/>
        <v>#N/A</v>
      </c>
      <c r="DG396" t="e">
        <f t="shared" ca="1" si="24"/>
        <v>#N/A</v>
      </c>
      <c r="DH396" t="e">
        <f ca="1">SUM($DF$360:DF396)/$DG$359</f>
        <v>#N/A</v>
      </c>
      <c r="DI396" t="e">
        <f t="shared" ca="1" si="25"/>
        <v>#N/A</v>
      </c>
      <c r="DK396">
        <v>37</v>
      </c>
      <c r="DP396" s="1"/>
      <c r="DQ396" s="1"/>
      <c r="DR396" s="1"/>
      <c r="DS396" s="1"/>
      <c r="DT396" s="1"/>
      <c r="DU396" s="1"/>
      <c r="DV396" s="1"/>
      <c r="DW396" s="1"/>
      <c r="DX396" s="1"/>
      <c r="DY396" s="1"/>
      <c r="DZ396" s="1"/>
      <c r="EA396" s="1"/>
    </row>
    <row r="397" spans="7:131" x14ac:dyDescent="0.25">
      <c r="G397" t="e">
        <f t="shared" ca="1" si="46"/>
        <v>#N/A</v>
      </c>
      <c r="H397" t="e">
        <f t="shared" ca="1" si="46"/>
        <v>#N/A</v>
      </c>
      <c r="I397" t="e">
        <f t="shared" ca="1" si="46"/>
        <v>#N/A</v>
      </c>
      <c r="J397" t="e">
        <f t="shared" ca="1" si="46"/>
        <v>#N/A</v>
      </c>
      <c r="K397" t="e">
        <f t="shared" ca="1" si="46"/>
        <v>#N/A</v>
      </c>
      <c r="L397" t="e">
        <f t="shared" ca="1" si="46"/>
        <v>#N/A</v>
      </c>
      <c r="M397" t="e">
        <f t="shared" ca="1" si="46"/>
        <v>#N/A</v>
      </c>
      <c r="N397" t="e">
        <f t="shared" ca="1" si="46"/>
        <v>#N/A</v>
      </c>
      <c r="O397" t="e">
        <f t="shared" ca="1" si="46"/>
        <v>#N/A</v>
      </c>
      <c r="P397" t="e">
        <f t="shared" ca="1" si="46"/>
        <v>#N/A</v>
      </c>
      <c r="Q397" t="e">
        <f t="shared" ca="1" si="47"/>
        <v>#N/A</v>
      </c>
      <c r="R397" t="e">
        <f t="shared" ca="1" si="47"/>
        <v>#N/A</v>
      </c>
      <c r="S397" t="e">
        <f t="shared" ca="1" si="47"/>
        <v>#N/A</v>
      </c>
      <c r="T397" t="e">
        <f t="shared" ca="1" si="47"/>
        <v>#N/A</v>
      </c>
      <c r="U397" t="e">
        <f t="shared" ca="1" si="47"/>
        <v>#N/A</v>
      </c>
      <c r="V397" t="e">
        <f t="shared" ca="1" si="47"/>
        <v>#N/A</v>
      </c>
      <c r="W397" t="e">
        <f t="shared" ca="1" si="47"/>
        <v>#N/A</v>
      </c>
      <c r="X397" t="e">
        <f t="shared" ca="1" si="47"/>
        <v>#N/A</v>
      </c>
      <c r="Y397" t="e">
        <f t="shared" ca="1" si="47"/>
        <v>#N/A</v>
      </c>
      <c r="Z397" t="e">
        <f t="shared" ca="1" si="47"/>
        <v>#N/A</v>
      </c>
      <c r="AA397" t="e">
        <f t="shared" ca="1" si="48"/>
        <v>#N/A</v>
      </c>
      <c r="AB397" t="e">
        <f t="shared" ca="1" si="48"/>
        <v>#N/A</v>
      </c>
      <c r="AC397" t="e">
        <f t="shared" ca="1" si="48"/>
        <v>#N/A</v>
      </c>
      <c r="AD397" t="e">
        <f t="shared" ca="1" si="48"/>
        <v>#N/A</v>
      </c>
      <c r="AE397" t="e">
        <f t="shared" ca="1" si="48"/>
        <v>#N/A</v>
      </c>
      <c r="AF397" t="e">
        <f t="shared" ca="1" si="48"/>
        <v>#N/A</v>
      </c>
      <c r="AG397" t="e">
        <f t="shared" ca="1" si="48"/>
        <v>#N/A</v>
      </c>
      <c r="AH397" t="e">
        <f t="shared" ca="1" si="48"/>
        <v>#N/A</v>
      </c>
      <c r="AI397" t="e">
        <f t="shared" ca="1" si="48"/>
        <v>#N/A</v>
      </c>
      <c r="AJ397" t="e">
        <f t="shared" ca="1" si="48"/>
        <v>#N/A</v>
      </c>
      <c r="AK397" t="e">
        <f t="shared" ca="1" si="49"/>
        <v>#N/A</v>
      </c>
      <c r="AL397" t="e">
        <f t="shared" ca="1" si="49"/>
        <v>#N/A</v>
      </c>
      <c r="AM397" t="e">
        <f t="shared" ca="1" si="49"/>
        <v>#N/A</v>
      </c>
      <c r="AN397">
        <f t="shared" si="49"/>
        <v>0</v>
      </c>
      <c r="AO397">
        <f t="shared" si="49"/>
        <v>0</v>
      </c>
      <c r="AP397">
        <f t="shared" si="49"/>
        <v>0</v>
      </c>
      <c r="AQ397">
        <f t="shared" si="49"/>
        <v>0</v>
      </c>
      <c r="AR397">
        <f t="shared" si="49"/>
        <v>0</v>
      </c>
      <c r="AS397">
        <f t="shared" si="49"/>
        <v>0</v>
      </c>
      <c r="AT397">
        <f t="shared" si="49"/>
        <v>0</v>
      </c>
      <c r="AU397">
        <f t="shared" si="50"/>
        <v>0</v>
      </c>
      <c r="AV397">
        <f t="shared" si="50"/>
        <v>0</v>
      </c>
      <c r="AW397">
        <f t="shared" si="50"/>
        <v>0</v>
      </c>
      <c r="AX397">
        <f t="shared" si="50"/>
        <v>0</v>
      </c>
      <c r="AY397">
        <f t="shared" si="50"/>
        <v>0</v>
      </c>
      <c r="AZ397">
        <f t="shared" si="50"/>
        <v>0</v>
      </c>
      <c r="BA397">
        <f t="shared" si="50"/>
        <v>0</v>
      </c>
      <c r="BB397">
        <f t="shared" si="50"/>
        <v>0</v>
      </c>
      <c r="BC397">
        <f t="shared" si="50"/>
        <v>0</v>
      </c>
      <c r="BD397">
        <f t="shared" si="50"/>
        <v>0</v>
      </c>
      <c r="BE397">
        <f t="shared" si="51"/>
        <v>0</v>
      </c>
      <c r="BF397">
        <f t="shared" si="51"/>
        <v>0</v>
      </c>
      <c r="BG397">
        <f t="shared" si="51"/>
        <v>0</v>
      </c>
      <c r="BH397">
        <f t="shared" si="51"/>
        <v>0</v>
      </c>
      <c r="BI397">
        <f t="shared" si="51"/>
        <v>0</v>
      </c>
      <c r="BJ397">
        <f t="shared" si="51"/>
        <v>0</v>
      </c>
      <c r="BK397">
        <f t="shared" si="51"/>
        <v>0</v>
      </c>
      <c r="BL397">
        <f t="shared" si="51"/>
        <v>0</v>
      </c>
      <c r="BM397">
        <f t="shared" si="51"/>
        <v>0</v>
      </c>
      <c r="BN397">
        <f t="shared" si="51"/>
        <v>0</v>
      </c>
      <c r="BO397">
        <f t="shared" si="52"/>
        <v>0</v>
      </c>
      <c r="BP397">
        <f t="shared" si="52"/>
        <v>0</v>
      </c>
      <c r="BQ397">
        <f t="shared" si="52"/>
        <v>0</v>
      </c>
      <c r="BR397">
        <f t="shared" si="52"/>
        <v>0</v>
      </c>
      <c r="BS397">
        <f t="shared" si="52"/>
        <v>0</v>
      </c>
      <c r="BT397">
        <f t="shared" si="52"/>
        <v>0</v>
      </c>
      <c r="BU397">
        <f t="shared" si="52"/>
        <v>0</v>
      </c>
      <c r="BV397">
        <f t="shared" si="52"/>
        <v>0</v>
      </c>
      <c r="BW397">
        <f t="shared" si="52"/>
        <v>0</v>
      </c>
      <c r="BX397">
        <f t="shared" si="52"/>
        <v>0</v>
      </c>
      <c r="BY397">
        <f t="shared" si="53"/>
        <v>0</v>
      </c>
      <c r="BZ397">
        <f t="shared" si="53"/>
        <v>0</v>
      </c>
      <c r="CA397">
        <f t="shared" si="53"/>
        <v>0</v>
      </c>
      <c r="CB397">
        <f t="shared" si="53"/>
        <v>0</v>
      </c>
      <c r="CC397">
        <f t="shared" si="53"/>
        <v>0</v>
      </c>
      <c r="CD397">
        <f t="shared" si="53"/>
        <v>0</v>
      </c>
      <c r="CE397">
        <f t="shared" si="53"/>
        <v>0</v>
      </c>
      <c r="CF397">
        <f t="shared" si="53"/>
        <v>0</v>
      </c>
      <c r="CG397">
        <f t="shared" si="53"/>
        <v>0</v>
      </c>
      <c r="CH397">
        <f t="shared" si="53"/>
        <v>0</v>
      </c>
      <c r="CI397">
        <f t="shared" si="54"/>
        <v>0</v>
      </c>
      <c r="CJ397">
        <f t="shared" si="54"/>
        <v>0</v>
      </c>
      <c r="CK397">
        <f t="shared" si="54"/>
        <v>0</v>
      </c>
      <c r="CL397">
        <f t="shared" si="54"/>
        <v>0</v>
      </c>
      <c r="CM397">
        <f t="shared" si="54"/>
        <v>0</v>
      </c>
      <c r="CN397">
        <f t="shared" si="54"/>
        <v>0</v>
      </c>
      <c r="CO397">
        <f t="shared" si="54"/>
        <v>0</v>
      </c>
      <c r="CP397">
        <f t="shared" si="54"/>
        <v>0</v>
      </c>
      <c r="CQ397">
        <f t="shared" si="54"/>
        <v>0</v>
      </c>
      <c r="CR397">
        <f t="shared" si="54"/>
        <v>0</v>
      </c>
      <c r="CS397">
        <f t="shared" si="55"/>
        <v>0</v>
      </c>
      <c r="CT397">
        <f t="shared" si="55"/>
        <v>0</v>
      </c>
      <c r="CU397">
        <f t="shared" si="55"/>
        <v>0</v>
      </c>
      <c r="CV397">
        <f t="shared" si="55"/>
        <v>0</v>
      </c>
      <c r="CW397">
        <f t="shared" si="55"/>
        <v>0</v>
      </c>
      <c r="CX397">
        <f t="shared" si="55"/>
        <v>0</v>
      </c>
      <c r="CY397">
        <f t="shared" si="55"/>
        <v>0</v>
      </c>
      <c r="CZ397">
        <f t="shared" si="55"/>
        <v>0</v>
      </c>
      <c r="DA397">
        <f t="shared" si="55"/>
        <v>0</v>
      </c>
      <c r="DB397">
        <f t="shared" si="55"/>
        <v>0</v>
      </c>
      <c r="DD397" s="8">
        <f t="shared" si="22"/>
        <v>-17</v>
      </c>
      <c r="DF397" t="e">
        <f t="shared" ca="1" si="23"/>
        <v>#N/A</v>
      </c>
      <c r="DG397" t="e">
        <f t="shared" ca="1" si="24"/>
        <v>#N/A</v>
      </c>
      <c r="DH397" t="e">
        <f ca="1">SUM($DF$360:DF397)/$DG$359</f>
        <v>#N/A</v>
      </c>
      <c r="DI397" t="e">
        <f t="shared" ca="1" si="25"/>
        <v>#N/A</v>
      </c>
      <c r="DK397">
        <v>38</v>
      </c>
      <c r="DP397" s="1"/>
      <c r="DQ397" s="1"/>
      <c r="DR397" s="1"/>
      <c r="DS397" s="1"/>
      <c r="DT397" s="1"/>
      <c r="DU397" s="1"/>
      <c r="DV397" s="1"/>
      <c r="DW397" s="1"/>
      <c r="DX397" s="1"/>
      <c r="DY397" s="1"/>
      <c r="DZ397" s="1"/>
      <c r="EA397" s="1"/>
    </row>
    <row r="398" spans="7:131" x14ac:dyDescent="0.25">
      <c r="G398" t="e">
        <f t="shared" ca="1" si="46"/>
        <v>#N/A</v>
      </c>
      <c r="H398" t="e">
        <f t="shared" ca="1" si="46"/>
        <v>#N/A</v>
      </c>
      <c r="I398" t="e">
        <f t="shared" ca="1" si="46"/>
        <v>#N/A</v>
      </c>
      <c r="J398" t="e">
        <f t="shared" ca="1" si="46"/>
        <v>#N/A</v>
      </c>
      <c r="K398" t="e">
        <f t="shared" ca="1" si="46"/>
        <v>#N/A</v>
      </c>
      <c r="L398" t="e">
        <f t="shared" ca="1" si="46"/>
        <v>#N/A</v>
      </c>
      <c r="M398" t="e">
        <f t="shared" ca="1" si="46"/>
        <v>#N/A</v>
      </c>
      <c r="N398" t="e">
        <f t="shared" ca="1" si="46"/>
        <v>#N/A</v>
      </c>
      <c r="O398" t="e">
        <f t="shared" ca="1" si="46"/>
        <v>#N/A</v>
      </c>
      <c r="P398" t="e">
        <f t="shared" ca="1" si="46"/>
        <v>#N/A</v>
      </c>
      <c r="Q398" t="e">
        <f t="shared" ca="1" si="47"/>
        <v>#N/A</v>
      </c>
      <c r="R398" t="e">
        <f t="shared" ca="1" si="47"/>
        <v>#N/A</v>
      </c>
      <c r="S398" t="e">
        <f t="shared" ca="1" si="47"/>
        <v>#N/A</v>
      </c>
      <c r="T398" t="e">
        <f t="shared" ca="1" si="47"/>
        <v>#N/A</v>
      </c>
      <c r="U398" t="e">
        <f t="shared" ca="1" si="47"/>
        <v>#N/A</v>
      </c>
      <c r="V398" t="e">
        <f t="shared" ca="1" si="47"/>
        <v>#N/A</v>
      </c>
      <c r="W398" t="e">
        <f t="shared" ca="1" si="47"/>
        <v>#N/A</v>
      </c>
      <c r="X398" t="e">
        <f t="shared" ca="1" si="47"/>
        <v>#N/A</v>
      </c>
      <c r="Y398" t="e">
        <f t="shared" ca="1" si="47"/>
        <v>#N/A</v>
      </c>
      <c r="Z398" t="e">
        <f t="shared" ca="1" si="47"/>
        <v>#N/A</v>
      </c>
      <c r="AA398" t="e">
        <f t="shared" ca="1" si="48"/>
        <v>#N/A</v>
      </c>
      <c r="AB398" t="e">
        <f t="shared" ca="1" si="48"/>
        <v>#N/A</v>
      </c>
      <c r="AC398" t="e">
        <f t="shared" ca="1" si="48"/>
        <v>#N/A</v>
      </c>
      <c r="AD398" t="e">
        <f t="shared" ca="1" si="48"/>
        <v>#N/A</v>
      </c>
      <c r="AE398" t="e">
        <f t="shared" ca="1" si="48"/>
        <v>#N/A</v>
      </c>
      <c r="AF398" t="e">
        <f t="shared" ca="1" si="48"/>
        <v>#N/A</v>
      </c>
      <c r="AG398" t="e">
        <f t="shared" ca="1" si="48"/>
        <v>#N/A</v>
      </c>
      <c r="AH398" t="e">
        <f t="shared" ca="1" si="48"/>
        <v>#N/A</v>
      </c>
      <c r="AI398" t="e">
        <f t="shared" ca="1" si="48"/>
        <v>#N/A</v>
      </c>
      <c r="AJ398" t="e">
        <f t="shared" ca="1" si="48"/>
        <v>#N/A</v>
      </c>
      <c r="AK398" t="e">
        <f t="shared" ca="1" si="49"/>
        <v>#N/A</v>
      </c>
      <c r="AL398" t="e">
        <f t="shared" ca="1" si="49"/>
        <v>#N/A</v>
      </c>
      <c r="AM398">
        <f t="shared" si="49"/>
        <v>0</v>
      </c>
      <c r="AN398">
        <f t="shared" si="49"/>
        <v>0</v>
      </c>
      <c r="AO398">
        <f t="shared" si="49"/>
        <v>0</v>
      </c>
      <c r="AP398">
        <f t="shared" si="49"/>
        <v>0</v>
      </c>
      <c r="AQ398">
        <f t="shared" si="49"/>
        <v>0</v>
      </c>
      <c r="AR398">
        <f t="shared" si="49"/>
        <v>0</v>
      </c>
      <c r="AS398">
        <f t="shared" si="49"/>
        <v>0</v>
      </c>
      <c r="AT398">
        <f t="shared" si="49"/>
        <v>0</v>
      </c>
      <c r="AU398">
        <f t="shared" si="50"/>
        <v>0</v>
      </c>
      <c r="AV398">
        <f t="shared" si="50"/>
        <v>0</v>
      </c>
      <c r="AW398">
        <f t="shared" si="50"/>
        <v>0</v>
      </c>
      <c r="AX398">
        <f t="shared" si="50"/>
        <v>0</v>
      </c>
      <c r="AY398">
        <f t="shared" si="50"/>
        <v>0</v>
      </c>
      <c r="AZ398">
        <f t="shared" si="50"/>
        <v>0</v>
      </c>
      <c r="BA398">
        <f t="shared" si="50"/>
        <v>0</v>
      </c>
      <c r="BB398">
        <f t="shared" si="50"/>
        <v>0</v>
      </c>
      <c r="BC398">
        <f t="shared" si="50"/>
        <v>0</v>
      </c>
      <c r="BD398">
        <f t="shared" si="50"/>
        <v>0</v>
      </c>
      <c r="BE398">
        <f t="shared" si="51"/>
        <v>0</v>
      </c>
      <c r="BF398">
        <f t="shared" si="51"/>
        <v>0</v>
      </c>
      <c r="BG398">
        <f t="shared" si="51"/>
        <v>0</v>
      </c>
      <c r="BH398">
        <f t="shared" si="51"/>
        <v>0</v>
      </c>
      <c r="BI398">
        <f t="shared" si="51"/>
        <v>0</v>
      </c>
      <c r="BJ398">
        <f t="shared" si="51"/>
        <v>0</v>
      </c>
      <c r="BK398">
        <f t="shared" si="51"/>
        <v>0</v>
      </c>
      <c r="BL398">
        <f t="shared" si="51"/>
        <v>0</v>
      </c>
      <c r="BM398">
        <f t="shared" si="51"/>
        <v>0</v>
      </c>
      <c r="BN398">
        <f t="shared" si="51"/>
        <v>0</v>
      </c>
      <c r="BO398">
        <f t="shared" si="52"/>
        <v>0</v>
      </c>
      <c r="BP398">
        <f t="shared" si="52"/>
        <v>0</v>
      </c>
      <c r="BQ398">
        <f t="shared" si="52"/>
        <v>0</v>
      </c>
      <c r="BR398">
        <f t="shared" si="52"/>
        <v>0</v>
      </c>
      <c r="BS398">
        <f t="shared" si="52"/>
        <v>0</v>
      </c>
      <c r="BT398">
        <f t="shared" si="52"/>
        <v>0</v>
      </c>
      <c r="BU398">
        <f t="shared" si="52"/>
        <v>0</v>
      </c>
      <c r="BV398">
        <f t="shared" si="52"/>
        <v>0</v>
      </c>
      <c r="BW398">
        <f t="shared" si="52"/>
        <v>0</v>
      </c>
      <c r="BX398">
        <f t="shared" si="52"/>
        <v>0</v>
      </c>
      <c r="BY398">
        <f t="shared" si="53"/>
        <v>0</v>
      </c>
      <c r="BZ398">
        <f t="shared" si="53"/>
        <v>0</v>
      </c>
      <c r="CA398">
        <f t="shared" si="53"/>
        <v>0</v>
      </c>
      <c r="CB398">
        <f t="shared" si="53"/>
        <v>0</v>
      </c>
      <c r="CC398">
        <f t="shared" si="53"/>
        <v>0</v>
      </c>
      <c r="CD398">
        <f t="shared" si="53"/>
        <v>0</v>
      </c>
      <c r="CE398">
        <f t="shared" si="53"/>
        <v>0</v>
      </c>
      <c r="CF398">
        <f t="shared" si="53"/>
        <v>0</v>
      </c>
      <c r="CG398">
        <f t="shared" si="53"/>
        <v>0</v>
      </c>
      <c r="CH398">
        <f t="shared" si="53"/>
        <v>0</v>
      </c>
      <c r="CI398">
        <f t="shared" si="54"/>
        <v>0</v>
      </c>
      <c r="CJ398">
        <f t="shared" si="54"/>
        <v>0</v>
      </c>
      <c r="CK398">
        <f t="shared" si="54"/>
        <v>0</v>
      </c>
      <c r="CL398">
        <f t="shared" si="54"/>
        <v>0</v>
      </c>
      <c r="CM398">
        <f t="shared" si="54"/>
        <v>0</v>
      </c>
      <c r="CN398">
        <f t="shared" si="54"/>
        <v>0</v>
      </c>
      <c r="CO398">
        <f t="shared" si="54"/>
        <v>0</v>
      </c>
      <c r="CP398">
        <f t="shared" si="54"/>
        <v>0</v>
      </c>
      <c r="CQ398">
        <f t="shared" si="54"/>
        <v>0</v>
      </c>
      <c r="CR398">
        <f t="shared" si="54"/>
        <v>0</v>
      </c>
      <c r="CS398">
        <f t="shared" si="55"/>
        <v>0</v>
      </c>
      <c r="CT398">
        <f t="shared" si="55"/>
        <v>0</v>
      </c>
      <c r="CU398">
        <f t="shared" si="55"/>
        <v>0</v>
      </c>
      <c r="CV398">
        <f t="shared" si="55"/>
        <v>0</v>
      </c>
      <c r="CW398">
        <f t="shared" si="55"/>
        <v>0</v>
      </c>
      <c r="CX398">
        <f t="shared" si="55"/>
        <v>0</v>
      </c>
      <c r="CY398">
        <f t="shared" si="55"/>
        <v>0</v>
      </c>
      <c r="CZ398">
        <f t="shared" si="55"/>
        <v>0</v>
      </c>
      <c r="DA398">
        <f t="shared" si="55"/>
        <v>0</v>
      </c>
      <c r="DB398">
        <f t="shared" si="55"/>
        <v>0</v>
      </c>
      <c r="DD398" s="8">
        <f t="shared" si="22"/>
        <v>-18</v>
      </c>
      <c r="DF398" t="e">
        <f t="shared" ca="1" si="23"/>
        <v>#N/A</v>
      </c>
      <c r="DG398" t="e">
        <f t="shared" ca="1" si="24"/>
        <v>#N/A</v>
      </c>
      <c r="DH398" t="e">
        <f ca="1">SUM($DF$360:DF398)/$DG$359</f>
        <v>#N/A</v>
      </c>
      <c r="DI398" t="e">
        <f t="shared" ca="1" si="25"/>
        <v>#N/A</v>
      </c>
      <c r="DK398">
        <v>39</v>
      </c>
      <c r="DP398" s="1"/>
      <c r="DQ398" s="1"/>
      <c r="DR398" s="1"/>
      <c r="DS398" s="1"/>
      <c r="DT398" s="1"/>
      <c r="DU398" s="1"/>
      <c r="DV398" s="1"/>
      <c r="DW398" s="1"/>
      <c r="DX398" s="1"/>
      <c r="DY398" s="1"/>
      <c r="DZ398" s="1"/>
      <c r="EA398" s="1"/>
    </row>
    <row r="399" spans="7:131" x14ac:dyDescent="0.25">
      <c r="DD399" s="8"/>
    </row>
    <row r="400" spans="7:131" x14ac:dyDescent="0.25">
      <c r="DD400" s="8"/>
    </row>
    <row r="401" spans="108:108" x14ac:dyDescent="0.25">
      <c r="DD401" s="8"/>
    </row>
    <row r="402" spans="108:108" x14ac:dyDescent="0.25">
      <c r="DD402" s="8"/>
    </row>
    <row r="403" spans="108:108" x14ac:dyDescent="0.25">
      <c r="DD403" s="8"/>
    </row>
    <row r="404" spans="108:108" x14ac:dyDescent="0.25">
      <c r="DD404" s="8"/>
    </row>
    <row r="405" spans="108:108" x14ac:dyDescent="0.25">
      <c r="DD405" s="8"/>
    </row>
    <row r="406" spans="108:108" x14ac:dyDescent="0.25">
      <c r="DD406" s="8"/>
    </row>
    <row r="407" spans="108:108" x14ac:dyDescent="0.25">
      <c r="DD407" s="8"/>
    </row>
    <row r="408" spans="108:108" x14ac:dyDescent="0.25">
      <c r="DD408" s="8"/>
    </row>
    <row r="409" spans="108:108" x14ac:dyDescent="0.25">
      <c r="DD409" s="8"/>
    </row>
    <row r="410" spans="108:108" x14ac:dyDescent="0.25">
      <c r="DD410" s="8"/>
    </row>
    <row r="411" spans="108:108" x14ac:dyDescent="0.25">
      <c r="DD411" s="8"/>
    </row>
    <row r="412" spans="108:108" x14ac:dyDescent="0.25">
      <c r="DD412" s="8"/>
    </row>
    <row r="413" spans="108:108" x14ac:dyDescent="0.25">
      <c r="DD413" s="8"/>
    </row>
    <row r="414" spans="108:108" x14ac:dyDescent="0.25">
      <c r="DD414" s="8"/>
    </row>
    <row r="415" spans="108:108" x14ac:dyDescent="0.25">
      <c r="DD415" s="8"/>
    </row>
    <row r="416" spans="108:108" x14ac:dyDescent="0.25">
      <c r="DD416" s="8"/>
    </row>
    <row r="417" spans="108:108" x14ac:dyDescent="0.25">
      <c r="DD417" s="8"/>
    </row>
    <row r="418" spans="108:108" x14ac:dyDescent="0.25">
      <c r="DD418" s="8"/>
    </row>
    <row r="419" spans="108:108" x14ac:dyDescent="0.25">
      <c r="DD419" s="8"/>
    </row>
    <row r="420" spans="108:108" x14ac:dyDescent="0.25">
      <c r="DD420" s="8"/>
    </row>
    <row r="421" spans="108:108" x14ac:dyDescent="0.25">
      <c r="DD421" s="8"/>
    </row>
    <row r="422" spans="108:108" x14ac:dyDescent="0.25">
      <c r="DD422" s="8"/>
    </row>
    <row r="423" spans="108:108" x14ac:dyDescent="0.25">
      <c r="DD423" s="8"/>
    </row>
    <row r="424" spans="108:108" x14ac:dyDescent="0.25">
      <c r="DD424" s="8"/>
    </row>
    <row r="425" spans="108:108" x14ac:dyDescent="0.25">
      <c r="DD425" s="8"/>
    </row>
    <row r="426" spans="108:108" x14ac:dyDescent="0.25">
      <c r="DD426" s="8"/>
    </row>
    <row r="427" spans="108:108" x14ac:dyDescent="0.25">
      <c r="DD427" s="8"/>
    </row>
    <row r="428" spans="108:108" x14ac:dyDescent="0.25">
      <c r="DD428" s="8"/>
    </row>
    <row r="429" spans="108:108" x14ac:dyDescent="0.25">
      <c r="DD429" s="8"/>
    </row>
    <row r="430" spans="108:108" x14ac:dyDescent="0.25">
      <c r="DD430" s="8"/>
    </row>
    <row r="431" spans="108:108" x14ac:dyDescent="0.25">
      <c r="DD431" s="8"/>
    </row>
    <row r="432" spans="108:108" x14ac:dyDescent="0.25">
      <c r="DD432" s="8"/>
    </row>
    <row r="433" spans="108:108" x14ac:dyDescent="0.25">
      <c r="DD433" s="8"/>
    </row>
    <row r="434" spans="108:108" x14ac:dyDescent="0.25">
      <c r="DD434" s="8"/>
    </row>
    <row r="435" spans="108:108" x14ac:dyDescent="0.25">
      <c r="DD435" s="8"/>
    </row>
    <row r="436" spans="108:108" x14ac:dyDescent="0.25">
      <c r="DD436" s="8"/>
    </row>
    <row r="437" spans="108:108" x14ac:dyDescent="0.25">
      <c r="DD437" s="8"/>
    </row>
    <row r="438" spans="108:108" x14ac:dyDescent="0.25">
      <c r="DD438" s="8"/>
    </row>
    <row r="439" spans="108:108" x14ac:dyDescent="0.25">
      <c r="DD439" s="8"/>
    </row>
    <row r="440" spans="108:108" x14ac:dyDescent="0.25">
      <c r="DD440" s="8"/>
    </row>
    <row r="441" spans="108:108" x14ac:dyDescent="0.25">
      <c r="DD441" s="8"/>
    </row>
    <row r="442" spans="108:108" x14ac:dyDescent="0.25">
      <c r="DD442" s="8"/>
    </row>
    <row r="443" spans="108:108" x14ac:dyDescent="0.25">
      <c r="DD443" s="8"/>
    </row>
    <row r="444" spans="108:108" x14ac:dyDescent="0.25">
      <c r="DD444" s="8"/>
    </row>
    <row r="445" spans="108:108" x14ac:dyDescent="0.25">
      <c r="DD445" s="8"/>
    </row>
    <row r="446" spans="108:108" x14ac:dyDescent="0.25">
      <c r="DD446" s="8"/>
    </row>
    <row r="447" spans="108:108" x14ac:dyDescent="0.25">
      <c r="DD447" s="8"/>
    </row>
    <row r="448" spans="108:108" x14ac:dyDescent="0.25">
      <c r="DD448" s="8"/>
    </row>
    <row r="449" spans="108:108" x14ac:dyDescent="0.25">
      <c r="DD449" s="8"/>
    </row>
    <row r="450" spans="108:108" x14ac:dyDescent="0.25">
      <c r="DD450" s="8"/>
    </row>
    <row r="451" spans="108:108" x14ac:dyDescent="0.25">
      <c r="DD451" s="8"/>
    </row>
    <row r="452" spans="108:108" x14ac:dyDescent="0.25">
      <c r="DD452" s="8"/>
    </row>
    <row r="453" spans="108:108" x14ac:dyDescent="0.25">
      <c r="DD453" s="8"/>
    </row>
    <row r="454" spans="108:108" x14ac:dyDescent="0.25">
      <c r="DD454" s="8"/>
    </row>
    <row r="455" spans="108:108" x14ac:dyDescent="0.25">
      <c r="DD455" s="8"/>
    </row>
    <row r="456" spans="108:108" x14ac:dyDescent="0.25">
      <c r="DD456" s="8"/>
    </row>
    <row r="457" spans="108:108" x14ac:dyDescent="0.25">
      <c r="DD457" s="8"/>
    </row>
    <row r="458" spans="108:108" x14ac:dyDescent="0.25">
      <c r="DD458" s="8"/>
    </row>
    <row r="459" spans="108:108" x14ac:dyDescent="0.25">
      <c r="DD459" s="8"/>
    </row>
    <row r="460" spans="108:108" x14ac:dyDescent="0.25">
      <c r="DD460" s="8"/>
    </row>
    <row r="461" spans="108:108" x14ac:dyDescent="0.25">
      <c r="DD461" s="8"/>
    </row>
    <row r="462" spans="108:108" x14ac:dyDescent="0.25">
      <c r="DD462" s="8"/>
    </row>
    <row r="463" spans="108:108" x14ac:dyDescent="0.25">
      <c r="DD463" s="8"/>
    </row>
    <row r="464" spans="108:108" x14ac:dyDescent="0.25">
      <c r="DD464" s="8"/>
    </row>
    <row r="465" spans="108:108" x14ac:dyDescent="0.25">
      <c r="DD465" s="8"/>
    </row>
    <row r="466" spans="108:108" x14ac:dyDescent="0.25">
      <c r="DD466" s="8"/>
    </row>
    <row r="467" spans="108:108" x14ac:dyDescent="0.25">
      <c r="DD467" s="8"/>
    </row>
    <row r="468" spans="108:108" x14ac:dyDescent="0.25">
      <c r="DD468" s="8"/>
    </row>
    <row r="469" spans="108:108" x14ac:dyDescent="0.25">
      <c r="DD469" s="8"/>
    </row>
    <row r="470" spans="108:108" x14ac:dyDescent="0.25">
      <c r="DD470" s="8"/>
    </row>
    <row r="471" spans="108:108" x14ac:dyDescent="0.25">
      <c r="DD471" s="8"/>
    </row>
    <row r="472" spans="108:108" x14ac:dyDescent="0.25">
      <c r="DD472" s="8"/>
    </row>
    <row r="473" spans="108:108" x14ac:dyDescent="0.25">
      <c r="DD473" s="8"/>
    </row>
    <row r="474" spans="108:108" x14ac:dyDescent="0.25">
      <c r="DD474" s="8"/>
    </row>
    <row r="475" spans="108:108" x14ac:dyDescent="0.25">
      <c r="DD475" s="8"/>
    </row>
    <row r="476" spans="108:108" x14ac:dyDescent="0.25">
      <c r="DD476" s="8"/>
    </row>
    <row r="477" spans="108:108" x14ac:dyDescent="0.25">
      <c r="DD477" s="8"/>
    </row>
    <row r="478" spans="108:108" x14ac:dyDescent="0.25">
      <c r="DD478" s="8"/>
    </row>
    <row r="479" spans="108:108" x14ac:dyDescent="0.25">
      <c r="DD479" s="8"/>
    </row>
    <row r="480" spans="108:108" x14ac:dyDescent="0.25">
      <c r="DD480" s="8"/>
    </row>
    <row r="481" spans="108:108" x14ac:dyDescent="0.25">
      <c r="DD481" s="8"/>
    </row>
    <row r="482" spans="108:108" x14ac:dyDescent="0.25">
      <c r="DD482" s="8"/>
    </row>
    <row r="483" spans="108:108" x14ac:dyDescent="0.25">
      <c r="DD483" s="8"/>
    </row>
    <row r="484" spans="108:108" x14ac:dyDescent="0.25">
      <c r="DD484" s="8"/>
    </row>
    <row r="485" spans="108:108" x14ac:dyDescent="0.25">
      <c r="DD485" s="8"/>
    </row>
    <row r="486" spans="108:108" x14ac:dyDescent="0.25">
      <c r="DD486" s="8"/>
    </row>
    <row r="487" spans="108:108" x14ac:dyDescent="0.25">
      <c r="DD487" s="8"/>
    </row>
    <row r="488" spans="108:108" x14ac:dyDescent="0.25">
      <c r="DD488" s="8"/>
    </row>
    <row r="489" spans="108:108" x14ac:dyDescent="0.25">
      <c r="DD489" s="8"/>
    </row>
    <row r="490" spans="108:108" x14ac:dyDescent="0.25">
      <c r="DD490" s="8"/>
    </row>
    <row r="491" spans="108:108" x14ac:dyDescent="0.25">
      <c r="DD491" s="8"/>
    </row>
    <row r="492" spans="108:108" x14ac:dyDescent="0.25">
      <c r="DD492" s="8"/>
    </row>
    <row r="493" spans="108:108" x14ac:dyDescent="0.25">
      <c r="DD493" s="8"/>
    </row>
    <row r="494" spans="108:108" x14ac:dyDescent="0.25">
      <c r="DD494" s="8"/>
    </row>
    <row r="495" spans="108:108" x14ac:dyDescent="0.25">
      <c r="DD495" s="8"/>
    </row>
    <row r="496" spans="108:108" x14ac:dyDescent="0.25">
      <c r="DD496" s="8"/>
    </row>
    <row r="497" spans="108:108" x14ac:dyDescent="0.25">
      <c r="DD497" s="8"/>
    </row>
    <row r="498" spans="108:108" x14ac:dyDescent="0.25">
      <c r="DD498" s="8"/>
    </row>
    <row r="499" spans="108:108" x14ac:dyDescent="0.25">
      <c r="DD499" s="8"/>
    </row>
    <row r="500" spans="108:108" x14ac:dyDescent="0.25">
      <c r="DD500" s="8"/>
    </row>
    <row r="501" spans="108:108" x14ac:dyDescent="0.25">
      <c r="DD501" s="8"/>
    </row>
    <row r="502" spans="108:108" x14ac:dyDescent="0.25">
      <c r="DD502" s="8"/>
    </row>
    <row r="503" spans="108:108" x14ac:dyDescent="0.25">
      <c r="DD503" s="8"/>
    </row>
    <row r="504" spans="108:108" x14ac:dyDescent="0.25">
      <c r="DD504" s="8"/>
    </row>
    <row r="505" spans="108:108" x14ac:dyDescent="0.25">
      <c r="DD505" s="8"/>
    </row>
    <row r="506" spans="108:108" x14ac:dyDescent="0.25">
      <c r="DD506" s="8"/>
    </row>
    <row r="507" spans="108:108" x14ac:dyDescent="0.25">
      <c r="DD507" s="8"/>
    </row>
    <row r="508" spans="108:108" x14ac:dyDescent="0.25">
      <c r="DD508" s="8"/>
    </row>
    <row r="509" spans="108:108" x14ac:dyDescent="0.25">
      <c r="DD509" s="8"/>
    </row>
    <row r="510" spans="108:108" x14ac:dyDescent="0.25">
      <c r="DD510" s="8"/>
    </row>
    <row r="511" spans="108:108" x14ac:dyDescent="0.25">
      <c r="DD511" s="8"/>
    </row>
    <row r="512" spans="108:108" x14ac:dyDescent="0.25">
      <c r="DD512" s="8"/>
    </row>
    <row r="513" spans="108:108" x14ac:dyDescent="0.25">
      <c r="DD513" s="8"/>
    </row>
    <row r="514" spans="108:108" x14ac:dyDescent="0.25">
      <c r="DD514" s="8"/>
    </row>
    <row r="515" spans="108:108" x14ac:dyDescent="0.25">
      <c r="DD515" s="8"/>
    </row>
    <row r="516" spans="108:108" x14ac:dyDescent="0.25">
      <c r="DD516" s="8"/>
    </row>
    <row r="517" spans="108:108" x14ac:dyDescent="0.25">
      <c r="DD517" s="8"/>
    </row>
    <row r="518" spans="108:108" x14ac:dyDescent="0.25">
      <c r="DD518" s="8"/>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F98B9-60F5-43B5-BDEF-61210F1E9136}">
  <sheetPr>
    <tabColor theme="3"/>
  </sheetPr>
  <dimension ref="B2:D311"/>
  <sheetViews>
    <sheetView zoomScale="90" zoomScaleNormal="90" workbookViewId="0">
      <selection activeCell="H29" sqref="H29"/>
    </sheetView>
  </sheetViews>
  <sheetFormatPr defaultRowHeight="15" x14ac:dyDescent="0.25"/>
  <cols>
    <col min="1" max="1" width="4" style="36" customWidth="1"/>
    <col min="2" max="2" width="14.42578125" style="36" customWidth="1"/>
    <col min="3" max="3" width="22" style="36" bestFit="1" customWidth="1"/>
    <col min="4" max="4" width="17.28515625" style="36" bestFit="1" customWidth="1"/>
    <col min="5" max="16384" width="9.140625" style="36"/>
  </cols>
  <sheetData>
    <row r="2" spans="2:4" ht="18.75" x14ac:dyDescent="0.3">
      <c r="C2" s="309" t="s">
        <v>1465</v>
      </c>
    </row>
    <row r="9" spans="2:4" x14ac:dyDescent="0.25">
      <c r="B9" s="396" t="s">
        <v>1466</v>
      </c>
      <c r="C9" s="396" t="s">
        <v>1467</v>
      </c>
      <c r="D9" s="232"/>
    </row>
    <row r="10" spans="2:4" x14ac:dyDescent="0.25">
      <c r="B10" s="397" t="s">
        <v>140</v>
      </c>
      <c r="C10" s="36" t="s">
        <v>386</v>
      </c>
    </row>
    <row r="11" spans="2:4" x14ac:dyDescent="0.25">
      <c r="B11" s="397" t="s">
        <v>142</v>
      </c>
      <c r="C11" s="36" t="s">
        <v>386</v>
      </c>
    </row>
    <row r="12" spans="2:4" x14ac:dyDescent="0.25">
      <c r="B12" s="397" t="s">
        <v>214</v>
      </c>
      <c r="C12" s="36" t="s">
        <v>386</v>
      </c>
    </row>
    <row r="13" spans="2:4" x14ac:dyDescent="0.25">
      <c r="B13" s="397" t="s">
        <v>235</v>
      </c>
      <c r="C13" s="36" t="s">
        <v>386</v>
      </c>
    </row>
    <row r="14" spans="2:4" x14ac:dyDescent="0.25">
      <c r="B14" s="397" t="s">
        <v>261</v>
      </c>
      <c r="C14" s="36" t="s">
        <v>386</v>
      </c>
    </row>
    <row r="15" spans="2:4" x14ac:dyDescent="0.25">
      <c r="B15" s="397" t="s">
        <v>51</v>
      </c>
      <c r="C15" s="36" t="s">
        <v>349</v>
      </c>
    </row>
    <row r="16" spans="2:4" x14ac:dyDescent="0.25">
      <c r="B16" s="397" t="s">
        <v>61</v>
      </c>
      <c r="C16" s="36" t="s">
        <v>349</v>
      </c>
    </row>
    <row r="17" spans="2:3" x14ac:dyDescent="0.25">
      <c r="B17" s="397" t="s">
        <v>84</v>
      </c>
      <c r="C17" s="36" t="s">
        <v>349</v>
      </c>
    </row>
    <row r="18" spans="2:3" x14ac:dyDescent="0.25">
      <c r="B18" s="397" t="s">
        <v>94</v>
      </c>
      <c r="C18" s="36" t="s">
        <v>349</v>
      </c>
    </row>
    <row r="19" spans="2:3" x14ac:dyDescent="0.25">
      <c r="B19" s="397" t="s">
        <v>115</v>
      </c>
      <c r="C19" s="36" t="s">
        <v>349</v>
      </c>
    </row>
    <row r="20" spans="2:3" x14ac:dyDescent="0.25">
      <c r="B20" s="397" t="s">
        <v>166</v>
      </c>
      <c r="C20" s="36" t="s">
        <v>349</v>
      </c>
    </row>
    <row r="21" spans="2:3" x14ac:dyDescent="0.25">
      <c r="B21" s="397" t="s">
        <v>177</v>
      </c>
      <c r="C21" s="36" t="s">
        <v>349</v>
      </c>
    </row>
    <row r="22" spans="2:3" x14ac:dyDescent="0.25">
      <c r="B22" s="397" t="s">
        <v>185</v>
      </c>
      <c r="C22" s="36" t="s">
        <v>349</v>
      </c>
    </row>
    <row r="23" spans="2:3" x14ac:dyDescent="0.25">
      <c r="B23" s="397" t="s">
        <v>193</v>
      </c>
      <c r="C23" s="36" t="s">
        <v>349</v>
      </c>
    </row>
    <row r="24" spans="2:3" x14ac:dyDescent="0.25">
      <c r="B24" s="397" t="s">
        <v>218</v>
      </c>
      <c r="C24" s="36" t="s">
        <v>349</v>
      </c>
    </row>
    <row r="25" spans="2:3" x14ac:dyDescent="0.25">
      <c r="B25" s="397" t="s">
        <v>411</v>
      </c>
      <c r="C25" s="36" t="s">
        <v>349</v>
      </c>
    </row>
    <row r="26" spans="2:3" x14ac:dyDescent="0.25">
      <c r="B26" s="397" t="s">
        <v>254</v>
      </c>
      <c r="C26" s="36" t="s">
        <v>349</v>
      </c>
    </row>
    <row r="27" spans="2:3" x14ac:dyDescent="0.25">
      <c r="B27" s="397" t="s">
        <v>1216</v>
      </c>
      <c r="C27" s="36" t="s">
        <v>349</v>
      </c>
    </row>
    <row r="28" spans="2:3" x14ac:dyDescent="0.25">
      <c r="B28" s="397" t="s">
        <v>241</v>
      </c>
      <c r="C28" s="36" t="s">
        <v>349</v>
      </c>
    </row>
    <row r="29" spans="2:3" x14ac:dyDescent="0.25">
      <c r="B29" s="397" t="s">
        <v>243</v>
      </c>
      <c r="C29" s="36" t="s">
        <v>349</v>
      </c>
    </row>
    <row r="30" spans="2:3" x14ac:dyDescent="0.25">
      <c r="B30" s="397" t="s">
        <v>316</v>
      </c>
      <c r="C30" s="36" t="s">
        <v>349</v>
      </c>
    </row>
    <row r="31" spans="2:3" x14ac:dyDescent="0.25">
      <c r="B31" s="397" t="s">
        <v>36</v>
      </c>
      <c r="C31" s="36" t="s">
        <v>349</v>
      </c>
    </row>
    <row r="32" spans="2:3" x14ac:dyDescent="0.25">
      <c r="B32" s="397" t="s">
        <v>119</v>
      </c>
      <c r="C32" s="36" t="s">
        <v>375</v>
      </c>
    </row>
    <row r="33" spans="2:3" x14ac:dyDescent="0.25">
      <c r="B33" s="397" t="s">
        <v>330</v>
      </c>
      <c r="C33" s="36" t="s">
        <v>375</v>
      </c>
    </row>
    <row r="34" spans="2:3" x14ac:dyDescent="0.25">
      <c r="B34" s="397" t="s">
        <v>58</v>
      </c>
      <c r="C34" s="36" t="s">
        <v>352</v>
      </c>
    </row>
    <row r="35" spans="2:3" x14ac:dyDescent="0.25">
      <c r="B35" s="397" t="s">
        <v>360</v>
      </c>
      <c r="C35" s="36" t="s">
        <v>352</v>
      </c>
    </row>
    <row r="36" spans="2:3" x14ac:dyDescent="0.25">
      <c r="B36" s="397" t="s">
        <v>72</v>
      </c>
      <c r="C36" s="36" t="s">
        <v>352</v>
      </c>
    </row>
    <row r="37" spans="2:3" x14ac:dyDescent="0.25">
      <c r="B37" s="397" t="s">
        <v>96</v>
      </c>
      <c r="C37" s="36" t="s">
        <v>352</v>
      </c>
    </row>
    <row r="38" spans="2:3" x14ac:dyDescent="0.25">
      <c r="B38" s="397" t="s">
        <v>122</v>
      </c>
      <c r="C38" s="36" t="s">
        <v>352</v>
      </c>
    </row>
    <row r="39" spans="2:3" x14ac:dyDescent="0.25">
      <c r="B39" s="397" t="s">
        <v>129</v>
      </c>
      <c r="C39" s="36" t="s">
        <v>352</v>
      </c>
    </row>
    <row r="40" spans="2:3" x14ac:dyDescent="0.25">
      <c r="B40" s="397" t="s">
        <v>175</v>
      </c>
      <c r="C40" s="36" t="s">
        <v>352</v>
      </c>
    </row>
    <row r="41" spans="2:3" x14ac:dyDescent="0.25">
      <c r="B41" s="397" t="s">
        <v>202</v>
      </c>
      <c r="C41" s="36" t="s">
        <v>352</v>
      </c>
    </row>
    <row r="42" spans="2:3" x14ac:dyDescent="0.25">
      <c r="B42" s="397" t="s">
        <v>211</v>
      </c>
      <c r="C42" s="36" t="s">
        <v>352</v>
      </c>
    </row>
    <row r="43" spans="2:3" x14ac:dyDescent="0.25">
      <c r="B43" s="397" t="s">
        <v>240</v>
      </c>
      <c r="C43" s="36" t="s">
        <v>352</v>
      </c>
    </row>
    <row r="44" spans="2:3" x14ac:dyDescent="0.25">
      <c r="B44" s="397" t="s">
        <v>255</v>
      </c>
      <c r="C44" s="36" t="s">
        <v>352</v>
      </c>
    </row>
    <row r="45" spans="2:3" x14ac:dyDescent="0.25">
      <c r="B45" s="397" t="s">
        <v>81</v>
      </c>
      <c r="C45" s="36" t="s">
        <v>365</v>
      </c>
    </row>
    <row r="46" spans="2:3" x14ac:dyDescent="0.25">
      <c r="B46" s="397" t="s">
        <v>107</v>
      </c>
      <c r="C46" s="36" t="s">
        <v>365</v>
      </c>
    </row>
    <row r="47" spans="2:3" x14ac:dyDescent="0.25">
      <c r="B47" s="397" t="s">
        <v>131</v>
      </c>
      <c r="C47" s="36" t="s">
        <v>365</v>
      </c>
    </row>
    <row r="48" spans="2:3" x14ac:dyDescent="0.25">
      <c r="B48" s="397" t="s">
        <v>159</v>
      </c>
      <c r="C48" s="36" t="s">
        <v>365</v>
      </c>
    </row>
    <row r="49" spans="2:3" x14ac:dyDescent="0.25">
      <c r="B49" s="397" t="s">
        <v>162</v>
      </c>
      <c r="C49" s="36" t="s">
        <v>365</v>
      </c>
    </row>
    <row r="50" spans="2:3" x14ac:dyDescent="0.25">
      <c r="B50" s="397" t="s">
        <v>304</v>
      </c>
      <c r="C50" s="36" t="s">
        <v>365</v>
      </c>
    </row>
    <row r="51" spans="2:3" x14ac:dyDescent="0.25">
      <c r="B51" s="397" t="s">
        <v>318</v>
      </c>
      <c r="C51" s="36" t="s">
        <v>365</v>
      </c>
    </row>
    <row r="52" spans="2:3" x14ac:dyDescent="0.25">
      <c r="B52" s="397" t="s">
        <v>63</v>
      </c>
      <c r="C52" s="36" t="s">
        <v>357</v>
      </c>
    </row>
    <row r="53" spans="2:3" x14ac:dyDescent="0.25">
      <c r="B53" s="397" t="s">
        <v>370</v>
      </c>
      <c r="C53" s="36" t="s">
        <v>357</v>
      </c>
    </row>
    <row r="54" spans="2:3" x14ac:dyDescent="0.25">
      <c r="B54" s="397" t="s">
        <v>93</v>
      </c>
      <c r="C54" s="36" t="s">
        <v>357</v>
      </c>
    </row>
    <row r="55" spans="2:3" x14ac:dyDescent="0.25">
      <c r="B55" s="397" t="s">
        <v>109</v>
      </c>
      <c r="C55" s="36" t="s">
        <v>357</v>
      </c>
    </row>
    <row r="56" spans="2:3" x14ac:dyDescent="0.25">
      <c r="B56" s="397" t="s">
        <v>116</v>
      </c>
      <c r="C56" s="36" t="s">
        <v>357</v>
      </c>
    </row>
    <row r="57" spans="2:3" x14ac:dyDescent="0.25">
      <c r="B57" s="397" t="s">
        <v>269</v>
      </c>
      <c r="C57" s="36" t="s">
        <v>357</v>
      </c>
    </row>
    <row r="58" spans="2:3" x14ac:dyDescent="0.25">
      <c r="B58" s="397" t="s">
        <v>273</v>
      </c>
      <c r="C58" s="36" t="s">
        <v>357</v>
      </c>
    </row>
    <row r="59" spans="2:3" x14ac:dyDescent="0.25">
      <c r="B59" s="397" t="s">
        <v>280</v>
      </c>
      <c r="C59" s="36" t="s">
        <v>357</v>
      </c>
    </row>
    <row r="60" spans="2:3" x14ac:dyDescent="0.25">
      <c r="B60" s="397" t="s">
        <v>282</v>
      </c>
      <c r="C60" s="36" t="s">
        <v>357</v>
      </c>
    </row>
    <row r="61" spans="2:3" x14ac:dyDescent="0.25">
      <c r="B61" s="397" t="s">
        <v>419</v>
      </c>
      <c r="C61" s="36" t="s">
        <v>357</v>
      </c>
    </row>
    <row r="62" spans="2:3" x14ac:dyDescent="0.25">
      <c r="B62" s="397" t="s">
        <v>43</v>
      </c>
      <c r="C62" s="36" t="s">
        <v>357</v>
      </c>
    </row>
    <row r="63" spans="2:3" x14ac:dyDescent="0.25">
      <c r="B63" s="397" t="s">
        <v>223</v>
      </c>
      <c r="C63" s="36" t="s">
        <v>357</v>
      </c>
    </row>
    <row r="64" spans="2:3" x14ac:dyDescent="0.25">
      <c r="B64" s="397" t="s">
        <v>74</v>
      </c>
      <c r="C64" s="36" t="s">
        <v>345</v>
      </c>
    </row>
    <row r="65" spans="2:3" x14ac:dyDescent="0.25">
      <c r="B65" s="397" t="s">
        <v>97</v>
      </c>
      <c r="C65" s="36" t="s">
        <v>345</v>
      </c>
    </row>
    <row r="66" spans="2:3" x14ac:dyDescent="0.25">
      <c r="B66" s="397" t="s">
        <v>102</v>
      </c>
      <c r="C66" s="36" t="s">
        <v>345</v>
      </c>
    </row>
    <row r="67" spans="2:3" x14ac:dyDescent="0.25">
      <c r="B67" s="397" t="s">
        <v>384</v>
      </c>
      <c r="C67" s="36" t="s">
        <v>345</v>
      </c>
    </row>
    <row r="68" spans="2:3" x14ac:dyDescent="0.25">
      <c r="B68" s="397" t="s">
        <v>406</v>
      </c>
      <c r="C68" s="36" t="s">
        <v>345</v>
      </c>
    </row>
    <row r="69" spans="2:3" x14ac:dyDescent="0.25">
      <c r="B69" s="397" t="s">
        <v>244</v>
      </c>
      <c r="C69" s="36" t="s">
        <v>345</v>
      </c>
    </row>
    <row r="70" spans="2:3" x14ac:dyDescent="0.25">
      <c r="B70" s="397" t="s">
        <v>297</v>
      </c>
      <c r="C70" s="36" t="s">
        <v>345</v>
      </c>
    </row>
    <row r="71" spans="2:3" x14ac:dyDescent="0.25">
      <c r="B71" s="397" t="s">
        <v>311</v>
      </c>
      <c r="C71" s="36" t="s">
        <v>345</v>
      </c>
    </row>
    <row r="72" spans="2:3" x14ac:dyDescent="0.25">
      <c r="B72" s="397" t="s">
        <v>325</v>
      </c>
      <c r="C72" s="36" t="s">
        <v>345</v>
      </c>
    </row>
    <row r="73" spans="2:3" x14ac:dyDescent="0.25">
      <c r="B73" s="397" t="s">
        <v>321</v>
      </c>
      <c r="C73" s="36" t="s">
        <v>345</v>
      </c>
    </row>
    <row r="74" spans="2:3" x14ac:dyDescent="0.25">
      <c r="B74" s="397" t="s">
        <v>60</v>
      </c>
      <c r="C74" s="36" t="s">
        <v>354</v>
      </c>
    </row>
    <row r="75" spans="2:3" x14ac:dyDescent="0.25">
      <c r="B75" s="397" t="s">
        <v>75</v>
      </c>
      <c r="C75" s="36" t="s">
        <v>354</v>
      </c>
    </row>
    <row r="76" spans="2:3" x14ac:dyDescent="0.25">
      <c r="B76" s="397" t="s">
        <v>130</v>
      </c>
      <c r="C76" s="36" t="s">
        <v>354</v>
      </c>
    </row>
    <row r="77" spans="2:3" x14ac:dyDescent="0.25">
      <c r="B77" s="397" t="s">
        <v>380</v>
      </c>
      <c r="C77" s="36" t="s">
        <v>354</v>
      </c>
    </row>
    <row r="78" spans="2:3" x14ac:dyDescent="0.25">
      <c r="B78" s="397" t="s">
        <v>137</v>
      </c>
      <c r="C78" s="36" t="s">
        <v>354</v>
      </c>
    </row>
    <row r="79" spans="2:3" x14ac:dyDescent="0.25">
      <c r="B79" s="397" t="s">
        <v>192</v>
      </c>
      <c r="C79" s="36" t="s">
        <v>354</v>
      </c>
    </row>
    <row r="80" spans="2:3" x14ac:dyDescent="0.25">
      <c r="B80" s="397" t="s">
        <v>194</v>
      </c>
      <c r="C80" s="36" t="s">
        <v>354</v>
      </c>
    </row>
    <row r="81" spans="2:3" x14ac:dyDescent="0.25">
      <c r="B81" s="397" t="s">
        <v>207</v>
      </c>
      <c r="C81" s="36" t="s">
        <v>354</v>
      </c>
    </row>
    <row r="82" spans="2:3" x14ac:dyDescent="0.25">
      <c r="B82" s="397" t="s">
        <v>221</v>
      </c>
      <c r="C82" s="36" t="s">
        <v>354</v>
      </c>
    </row>
    <row r="83" spans="2:3" x14ac:dyDescent="0.25">
      <c r="B83" s="397" t="s">
        <v>295</v>
      </c>
      <c r="C83" s="36" t="s">
        <v>354</v>
      </c>
    </row>
    <row r="84" spans="2:3" x14ac:dyDescent="0.25">
      <c r="B84" s="397" t="s">
        <v>327</v>
      </c>
      <c r="C84" s="36" t="s">
        <v>354</v>
      </c>
    </row>
    <row r="85" spans="2:3" x14ac:dyDescent="0.25">
      <c r="B85" s="397" t="s">
        <v>323</v>
      </c>
      <c r="C85" s="36" t="s">
        <v>354</v>
      </c>
    </row>
    <row r="86" spans="2:3" x14ac:dyDescent="0.25">
      <c r="B86" s="397" t="s">
        <v>37</v>
      </c>
      <c r="C86" s="36" t="s">
        <v>343</v>
      </c>
    </row>
    <row r="87" spans="2:3" x14ac:dyDescent="0.25">
      <c r="B87" s="397" t="s">
        <v>168</v>
      </c>
      <c r="C87" s="36" t="s">
        <v>343</v>
      </c>
    </row>
    <row r="88" spans="2:3" x14ac:dyDescent="0.25">
      <c r="B88" s="397" t="s">
        <v>174</v>
      </c>
      <c r="C88" s="36" t="s">
        <v>343</v>
      </c>
    </row>
    <row r="89" spans="2:3" x14ac:dyDescent="0.25">
      <c r="B89" s="397" t="s">
        <v>187</v>
      </c>
      <c r="C89" s="36" t="s">
        <v>343</v>
      </c>
    </row>
    <row r="90" spans="2:3" x14ac:dyDescent="0.25">
      <c r="B90" s="397" t="s">
        <v>291</v>
      </c>
      <c r="C90" s="36" t="s">
        <v>343</v>
      </c>
    </row>
    <row r="91" spans="2:3" x14ac:dyDescent="0.25">
      <c r="B91" s="397" t="s">
        <v>324</v>
      </c>
      <c r="C91" s="36" t="s">
        <v>343</v>
      </c>
    </row>
    <row r="92" spans="2:3" x14ac:dyDescent="0.25">
      <c r="B92" s="397" t="s">
        <v>48</v>
      </c>
      <c r="C92" s="36" t="s">
        <v>343</v>
      </c>
    </row>
    <row r="93" spans="2:3" x14ac:dyDescent="0.25">
      <c r="B93" s="397" t="s">
        <v>35</v>
      </c>
      <c r="C93" s="36" t="s">
        <v>343</v>
      </c>
    </row>
    <row r="94" spans="2:3" x14ac:dyDescent="0.25">
      <c r="B94" s="397" t="s">
        <v>339</v>
      </c>
      <c r="C94" s="36" t="s">
        <v>340</v>
      </c>
    </row>
    <row r="95" spans="2:3" x14ac:dyDescent="0.25">
      <c r="B95" s="397" t="s">
        <v>45</v>
      </c>
      <c r="C95" s="36" t="s">
        <v>340</v>
      </c>
    </row>
    <row r="96" spans="2:3" x14ac:dyDescent="0.25">
      <c r="B96" s="397" t="s">
        <v>46</v>
      </c>
      <c r="C96" s="36" t="s">
        <v>340</v>
      </c>
    </row>
    <row r="97" spans="2:3" x14ac:dyDescent="0.25">
      <c r="B97" s="397" t="s">
        <v>56</v>
      </c>
      <c r="C97" s="36" t="s">
        <v>340</v>
      </c>
    </row>
    <row r="98" spans="2:3" x14ac:dyDescent="0.25">
      <c r="B98" s="397" t="s">
        <v>95</v>
      </c>
      <c r="C98" s="36" t="s">
        <v>340</v>
      </c>
    </row>
    <row r="99" spans="2:3" x14ac:dyDescent="0.25">
      <c r="B99" s="397" t="s">
        <v>111</v>
      </c>
      <c r="C99" s="36" t="s">
        <v>340</v>
      </c>
    </row>
    <row r="100" spans="2:3" x14ac:dyDescent="0.25">
      <c r="B100" s="397" t="s">
        <v>133</v>
      </c>
      <c r="C100" s="36" t="s">
        <v>340</v>
      </c>
    </row>
    <row r="101" spans="2:3" x14ac:dyDescent="0.25">
      <c r="B101" s="397" t="s">
        <v>136</v>
      </c>
      <c r="C101" s="36" t="s">
        <v>340</v>
      </c>
    </row>
    <row r="102" spans="2:3" x14ac:dyDescent="0.25">
      <c r="B102" s="397" t="s">
        <v>138</v>
      </c>
      <c r="C102" s="36" t="s">
        <v>340</v>
      </c>
    </row>
    <row r="103" spans="2:3" x14ac:dyDescent="0.25">
      <c r="B103" s="397" t="s">
        <v>148</v>
      </c>
      <c r="C103" s="36" t="s">
        <v>340</v>
      </c>
    </row>
    <row r="104" spans="2:3" x14ac:dyDescent="0.25">
      <c r="B104" s="397" t="s">
        <v>161</v>
      </c>
      <c r="C104" s="36" t="s">
        <v>340</v>
      </c>
    </row>
    <row r="105" spans="2:3" x14ac:dyDescent="0.25">
      <c r="B105" s="397" t="s">
        <v>178</v>
      </c>
      <c r="C105" s="36" t="s">
        <v>340</v>
      </c>
    </row>
    <row r="106" spans="2:3" x14ac:dyDescent="0.25">
      <c r="B106" s="397" t="s">
        <v>229</v>
      </c>
      <c r="C106" s="36" t="s">
        <v>340</v>
      </c>
    </row>
    <row r="107" spans="2:3" x14ac:dyDescent="0.25">
      <c r="B107" s="397" t="s">
        <v>410</v>
      </c>
      <c r="C107" s="36" t="s">
        <v>340</v>
      </c>
    </row>
    <row r="108" spans="2:3" x14ac:dyDescent="0.25">
      <c r="B108" s="397" t="s">
        <v>233</v>
      </c>
      <c r="C108" s="36" t="s">
        <v>340</v>
      </c>
    </row>
    <row r="109" spans="2:3" x14ac:dyDescent="0.25">
      <c r="B109" s="397" t="s">
        <v>38</v>
      </c>
      <c r="C109" s="36" t="s">
        <v>340</v>
      </c>
    </row>
    <row r="110" spans="2:3" x14ac:dyDescent="0.25">
      <c r="B110" s="397" t="s">
        <v>226</v>
      </c>
      <c r="C110" s="36" t="s">
        <v>340</v>
      </c>
    </row>
    <row r="111" spans="2:3" x14ac:dyDescent="0.25">
      <c r="B111" s="397" t="s">
        <v>227</v>
      </c>
      <c r="C111" s="36" t="s">
        <v>340</v>
      </c>
    </row>
    <row r="112" spans="2:3" x14ac:dyDescent="0.25">
      <c r="B112" s="397" t="s">
        <v>55</v>
      </c>
      <c r="C112" s="36" t="s">
        <v>351</v>
      </c>
    </row>
    <row r="113" spans="2:3" x14ac:dyDescent="0.25">
      <c r="B113" s="397" t="s">
        <v>64</v>
      </c>
      <c r="C113" s="36" t="s">
        <v>351</v>
      </c>
    </row>
    <row r="114" spans="2:3" x14ac:dyDescent="0.25">
      <c r="B114" s="397" t="s">
        <v>65</v>
      </c>
      <c r="C114" s="36" t="s">
        <v>351</v>
      </c>
    </row>
    <row r="115" spans="2:3" x14ac:dyDescent="0.25">
      <c r="B115" s="397" t="s">
        <v>358</v>
      </c>
      <c r="C115" s="36" t="s">
        <v>351</v>
      </c>
    </row>
    <row r="116" spans="2:3" x14ac:dyDescent="0.25">
      <c r="B116" s="397" t="s">
        <v>52</v>
      </c>
      <c r="C116" s="36" t="s">
        <v>351</v>
      </c>
    </row>
    <row r="117" spans="2:3" x14ac:dyDescent="0.25">
      <c r="B117" s="397" t="s">
        <v>78</v>
      </c>
      <c r="C117" s="36" t="s">
        <v>351</v>
      </c>
    </row>
    <row r="118" spans="2:3" x14ac:dyDescent="0.25">
      <c r="B118" s="397" t="s">
        <v>83</v>
      </c>
      <c r="C118" s="36" t="s">
        <v>351</v>
      </c>
    </row>
    <row r="119" spans="2:3" x14ac:dyDescent="0.25">
      <c r="B119" s="397" t="s">
        <v>117</v>
      </c>
      <c r="C119" s="36" t="s">
        <v>351</v>
      </c>
    </row>
    <row r="120" spans="2:3" x14ac:dyDescent="0.25">
      <c r="B120" s="397" t="s">
        <v>114</v>
      </c>
      <c r="C120" s="36" t="s">
        <v>351</v>
      </c>
    </row>
    <row r="121" spans="2:3" x14ac:dyDescent="0.25">
      <c r="B121" s="397" t="s">
        <v>123</v>
      </c>
      <c r="C121" s="36" t="s">
        <v>351</v>
      </c>
    </row>
    <row r="122" spans="2:3" x14ac:dyDescent="0.25">
      <c r="B122" s="397" t="s">
        <v>381</v>
      </c>
      <c r="C122" s="36" t="s">
        <v>351</v>
      </c>
    </row>
    <row r="123" spans="2:3" x14ac:dyDescent="0.25">
      <c r="B123" s="397" t="s">
        <v>125</v>
      </c>
      <c r="C123" s="36" t="s">
        <v>351</v>
      </c>
    </row>
    <row r="124" spans="2:3" x14ac:dyDescent="0.25">
      <c r="B124" s="397" t="s">
        <v>150</v>
      </c>
      <c r="C124" s="36" t="s">
        <v>351</v>
      </c>
    </row>
    <row r="125" spans="2:3" x14ac:dyDescent="0.25">
      <c r="B125" s="397" t="s">
        <v>155</v>
      </c>
      <c r="C125" s="36" t="s">
        <v>351</v>
      </c>
    </row>
    <row r="126" spans="2:3" x14ac:dyDescent="0.25">
      <c r="B126" s="397" t="s">
        <v>389</v>
      </c>
      <c r="C126" s="36" t="s">
        <v>351</v>
      </c>
    </row>
    <row r="127" spans="2:3" x14ac:dyDescent="0.25">
      <c r="B127" s="397" t="s">
        <v>163</v>
      </c>
      <c r="C127" s="36" t="s">
        <v>351</v>
      </c>
    </row>
    <row r="128" spans="2:3" x14ac:dyDescent="0.25">
      <c r="B128" s="397" t="s">
        <v>176</v>
      </c>
      <c r="C128" s="36" t="s">
        <v>351</v>
      </c>
    </row>
    <row r="129" spans="2:3" x14ac:dyDescent="0.25">
      <c r="B129" s="397" t="s">
        <v>179</v>
      </c>
      <c r="C129" s="36" t="s">
        <v>351</v>
      </c>
    </row>
    <row r="130" spans="2:3" x14ac:dyDescent="0.25">
      <c r="B130" s="397" t="s">
        <v>184</v>
      </c>
      <c r="C130" s="36" t="s">
        <v>351</v>
      </c>
    </row>
    <row r="131" spans="2:3" x14ac:dyDescent="0.25">
      <c r="B131" s="397" t="s">
        <v>220</v>
      </c>
      <c r="C131" s="36" t="s">
        <v>351</v>
      </c>
    </row>
    <row r="132" spans="2:3" x14ac:dyDescent="0.25">
      <c r="B132" s="397" t="s">
        <v>246</v>
      </c>
      <c r="C132" s="36" t="s">
        <v>351</v>
      </c>
    </row>
    <row r="133" spans="2:3" x14ac:dyDescent="0.25">
      <c r="B133" s="397" t="s">
        <v>247</v>
      </c>
      <c r="C133" s="36" t="s">
        <v>351</v>
      </c>
    </row>
    <row r="134" spans="2:3" x14ac:dyDescent="0.25">
      <c r="B134" s="397" t="s">
        <v>252</v>
      </c>
      <c r="C134" s="36" t="s">
        <v>351</v>
      </c>
    </row>
    <row r="135" spans="2:3" x14ac:dyDescent="0.25">
      <c r="B135" s="397" t="s">
        <v>264</v>
      </c>
      <c r="C135" s="36" t="s">
        <v>351</v>
      </c>
    </row>
    <row r="136" spans="2:3" x14ac:dyDescent="0.25">
      <c r="B136" s="397" t="s">
        <v>278</v>
      </c>
      <c r="C136" s="36" t="s">
        <v>351</v>
      </c>
    </row>
    <row r="137" spans="2:3" x14ac:dyDescent="0.25">
      <c r="B137" s="397" t="s">
        <v>279</v>
      </c>
      <c r="C137" s="36" t="s">
        <v>351</v>
      </c>
    </row>
    <row r="138" spans="2:3" x14ac:dyDescent="0.25">
      <c r="B138" s="397" t="s">
        <v>293</v>
      </c>
      <c r="C138" s="36" t="s">
        <v>351</v>
      </c>
    </row>
    <row r="139" spans="2:3" x14ac:dyDescent="0.25">
      <c r="B139" s="397" t="s">
        <v>299</v>
      </c>
      <c r="C139" s="36" t="s">
        <v>351</v>
      </c>
    </row>
    <row r="140" spans="2:3" x14ac:dyDescent="0.25">
      <c r="B140" s="397" t="s">
        <v>332</v>
      </c>
      <c r="C140" s="36" t="s">
        <v>351</v>
      </c>
    </row>
    <row r="141" spans="2:3" x14ac:dyDescent="0.25">
      <c r="B141" s="397" t="s">
        <v>40</v>
      </c>
      <c r="C141" s="36" t="s">
        <v>351</v>
      </c>
    </row>
    <row r="142" spans="2:3" x14ac:dyDescent="0.25">
      <c r="B142" s="397" t="s">
        <v>216</v>
      </c>
      <c r="C142" s="36" t="s">
        <v>351</v>
      </c>
    </row>
    <row r="143" spans="2:3" x14ac:dyDescent="0.25">
      <c r="B143" s="397" t="s">
        <v>32</v>
      </c>
      <c r="C143" s="36" t="s">
        <v>341</v>
      </c>
    </row>
    <row r="144" spans="2:3" x14ac:dyDescent="0.25">
      <c r="B144" s="397" t="s">
        <v>355</v>
      </c>
      <c r="C144" s="36" t="s">
        <v>341</v>
      </c>
    </row>
    <row r="145" spans="2:3" x14ac:dyDescent="0.25">
      <c r="B145" s="397" t="s">
        <v>68</v>
      </c>
      <c r="C145" s="36" t="s">
        <v>341</v>
      </c>
    </row>
    <row r="146" spans="2:3" x14ac:dyDescent="0.25">
      <c r="B146" s="397" t="s">
        <v>110</v>
      </c>
      <c r="C146" s="36" t="s">
        <v>341</v>
      </c>
    </row>
    <row r="147" spans="2:3" x14ac:dyDescent="0.25">
      <c r="B147" s="397" t="s">
        <v>128</v>
      </c>
      <c r="C147" s="36" t="s">
        <v>341</v>
      </c>
    </row>
    <row r="148" spans="2:3" x14ac:dyDescent="0.25">
      <c r="B148" s="397" t="s">
        <v>383</v>
      </c>
      <c r="C148" s="36" t="s">
        <v>341</v>
      </c>
    </row>
    <row r="149" spans="2:3" x14ac:dyDescent="0.25">
      <c r="B149" s="397" t="s">
        <v>169</v>
      </c>
      <c r="C149" s="36" t="s">
        <v>341</v>
      </c>
    </row>
    <row r="150" spans="2:3" x14ac:dyDescent="0.25">
      <c r="B150" s="397" t="s">
        <v>188</v>
      </c>
      <c r="C150" s="36" t="s">
        <v>341</v>
      </c>
    </row>
    <row r="151" spans="2:3" x14ac:dyDescent="0.25">
      <c r="B151" s="397" t="s">
        <v>198</v>
      </c>
      <c r="C151" s="36" t="s">
        <v>341</v>
      </c>
    </row>
    <row r="152" spans="2:3" x14ac:dyDescent="0.25">
      <c r="B152" s="397" t="s">
        <v>205</v>
      </c>
      <c r="C152" s="36" t="s">
        <v>341</v>
      </c>
    </row>
    <row r="153" spans="2:3" x14ac:dyDescent="0.25">
      <c r="B153" s="397" t="s">
        <v>209</v>
      </c>
      <c r="C153" s="36" t="s">
        <v>341</v>
      </c>
    </row>
    <row r="154" spans="2:3" x14ac:dyDescent="0.25">
      <c r="B154" s="397" t="s">
        <v>210</v>
      </c>
      <c r="C154" s="36" t="s">
        <v>341</v>
      </c>
    </row>
    <row r="155" spans="2:3" x14ac:dyDescent="0.25">
      <c r="B155" s="397" t="s">
        <v>238</v>
      </c>
      <c r="C155" s="36" t="s">
        <v>341</v>
      </c>
    </row>
    <row r="156" spans="2:3" x14ac:dyDescent="0.25">
      <c r="B156" s="397" t="s">
        <v>245</v>
      </c>
      <c r="C156" s="36" t="s">
        <v>341</v>
      </c>
    </row>
    <row r="157" spans="2:3" x14ac:dyDescent="0.25">
      <c r="B157" s="397" t="s">
        <v>259</v>
      </c>
      <c r="C157" s="36" t="s">
        <v>341</v>
      </c>
    </row>
    <row r="158" spans="2:3" x14ac:dyDescent="0.25">
      <c r="B158" s="397" t="s">
        <v>260</v>
      </c>
      <c r="C158" s="36" t="s">
        <v>341</v>
      </c>
    </row>
    <row r="159" spans="2:3" x14ac:dyDescent="0.25">
      <c r="B159" s="397" t="s">
        <v>267</v>
      </c>
      <c r="C159" s="36" t="s">
        <v>341</v>
      </c>
    </row>
    <row r="160" spans="2:3" x14ac:dyDescent="0.25">
      <c r="B160" s="397" t="s">
        <v>266</v>
      </c>
      <c r="C160" s="36" t="s">
        <v>341</v>
      </c>
    </row>
    <row r="161" spans="2:3" x14ac:dyDescent="0.25">
      <c r="B161" s="397" t="s">
        <v>274</v>
      </c>
      <c r="C161" s="36" t="s">
        <v>341</v>
      </c>
    </row>
    <row r="162" spans="2:3" x14ac:dyDescent="0.25">
      <c r="B162" s="397" t="s">
        <v>257</v>
      </c>
      <c r="C162" s="36" t="s">
        <v>341</v>
      </c>
    </row>
    <row r="163" spans="2:3" x14ac:dyDescent="0.25">
      <c r="B163" s="397" t="s">
        <v>302</v>
      </c>
      <c r="C163" s="36" t="s">
        <v>341</v>
      </c>
    </row>
    <row r="164" spans="2:3" x14ac:dyDescent="0.25">
      <c r="B164" s="397" t="s">
        <v>283</v>
      </c>
      <c r="C164" s="36" t="s">
        <v>341</v>
      </c>
    </row>
    <row r="165" spans="2:3" x14ac:dyDescent="0.25">
      <c r="B165" s="397" t="s">
        <v>307</v>
      </c>
      <c r="C165" s="36" t="s">
        <v>341</v>
      </c>
    </row>
    <row r="166" spans="2:3" x14ac:dyDescent="0.25">
      <c r="B166" s="397" t="s">
        <v>308</v>
      </c>
      <c r="C166" s="36" t="s">
        <v>341</v>
      </c>
    </row>
    <row r="167" spans="2:3" x14ac:dyDescent="0.25">
      <c r="B167" s="397" t="s">
        <v>313</v>
      </c>
      <c r="C167" s="36" t="s">
        <v>341</v>
      </c>
    </row>
    <row r="168" spans="2:3" x14ac:dyDescent="0.25">
      <c r="B168" s="397" t="s">
        <v>320</v>
      </c>
      <c r="C168" s="36" t="s">
        <v>341</v>
      </c>
    </row>
    <row r="169" spans="2:3" x14ac:dyDescent="0.25">
      <c r="B169" s="397" t="s">
        <v>222</v>
      </c>
      <c r="C169" s="36" t="s">
        <v>341</v>
      </c>
    </row>
    <row r="170" spans="2:3" x14ac:dyDescent="0.25">
      <c r="B170" s="397" t="s">
        <v>77</v>
      </c>
      <c r="C170" s="36" t="s">
        <v>364</v>
      </c>
    </row>
    <row r="171" spans="2:3" x14ac:dyDescent="0.25">
      <c r="B171" s="397" t="s">
        <v>89</v>
      </c>
      <c r="C171" s="36" t="s">
        <v>364</v>
      </c>
    </row>
    <row r="172" spans="2:3" x14ac:dyDescent="0.25">
      <c r="B172" s="397" t="s">
        <v>98</v>
      </c>
      <c r="C172" s="36" t="s">
        <v>364</v>
      </c>
    </row>
    <row r="173" spans="2:3" x14ac:dyDescent="0.25">
      <c r="B173" s="397" t="s">
        <v>144</v>
      </c>
      <c r="C173" s="36" t="s">
        <v>364</v>
      </c>
    </row>
    <row r="174" spans="2:3" x14ac:dyDescent="0.25">
      <c r="B174" s="397" t="s">
        <v>208</v>
      </c>
      <c r="C174" s="36" t="s">
        <v>364</v>
      </c>
    </row>
    <row r="175" spans="2:3" x14ac:dyDescent="0.25">
      <c r="B175" s="397" t="s">
        <v>408</v>
      </c>
      <c r="C175" s="36" t="s">
        <v>364</v>
      </c>
    </row>
    <row r="176" spans="2:3" x14ac:dyDescent="0.25">
      <c r="B176" s="397" t="s">
        <v>271</v>
      </c>
      <c r="C176" s="36" t="s">
        <v>364</v>
      </c>
    </row>
    <row r="177" spans="2:3" x14ac:dyDescent="0.25">
      <c r="B177" s="397" t="s">
        <v>301</v>
      </c>
      <c r="C177" s="36" t="s">
        <v>364</v>
      </c>
    </row>
    <row r="178" spans="2:3" x14ac:dyDescent="0.25">
      <c r="B178" s="397" t="s">
        <v>329</v>
      </c>
      <c r="C178" s="36" t="s">
        <v>364</v>
      </c>
    </row>
    <row r="179" spans="2:3" x14ac:dyDescent="0.25">
      <c r="B179" s="397" t="s">
        <v>76</v>
      </c>
      <c r="C179" s="36" t="s">
        <v>361</v>
      </c>
    </row>
    <row r="180" spans="2:3" x14ac:dyDescent="0.25">
      <c r="B180" s="397" t="s">
        <v>87</v>
      </c>
      <c r="C180" s="36" t="s">
        <v>361</v>
      </c>
    </row>
    <row r="181" spans="2:3" x14ac:dyDescent="0.25">
      <c r="B181" s="397" t="s">
        <v>151</v>
      </c>
      <c r="C181" s="36" t="s">
        <v>361</v>
      </c>
    </row>
    <row r="182" spans="2:3" x14ac:dyDescent="0.25">
      <c r="B182" s="397" t="s">
        <v>253</v>
      </c>
      <c r="C182" s="36" t="s">
        <v>361</v>
      </c>
    </row>
    <row r="183" spans="2:3" x14ac:dyDescent="0.25">
      <c r="B183" s="397" t="s">
        <v>289</v>
      </c>
      <c r="C183" s="36" t="s">
        <v>361</v>
      </c>
    </row>
    <row r="184" spans="2:3" x14ac:dyDescent="0.25">
      <c r="B184" s="397" t="s">
        <v>286</v>
      </c>
      <c r="C184" s="36" t="s">
        <v>361</v>
      </c>
    </row>
    <row r="185" spans="2:3" x14ac:dyDescent="0.25">
      <c r="B185" s="397" t="s">
        <v>309</v>
      </c>
      <c r="C185" s="36" t="s">
        <v>361</v>
      </c>
    </row>
    <row r="186" spans="2:3" x14ac:dyDescent="0.25">
      <c r="B186" s="397" t="s">
        <v>433</v>
      </c>
      <c r="C186" s="36" t="s">
        <v>361</v>
      </c>
    </row>
    <row r="187" spans="2:3" x14ac:dyDescent="0.25">
      <c r="B187" s="397" t="s">
        <v>47</v>
      </c>
      <c r="C187" s="36" t="s">
        <v>347</v>
      </c>
    </row>
    <row r="188" spans="2:3" x14ac:dyDescent="0.25">
      <c r="B188" s="397" t="s">
        <v>86</v>
      </c>
      <c r="C188" s="36" t="s">
        <v>347</v>
      </c>
    </row>
    <row r="189" spans="2:3" x14ac:dyDescent="0.25">
      <c r="B189" s="397" t="s">
        <v>91</v>
      </c>
      <c r="C189" s="36" t="s">
        <v>347</v>
      </c>
    </row>
    <row r="190" spans="2:3" x14ac:dyDescent="0.25">
      <c r="B190" s="397" t="s">
        <v>103</v>
      </c>
      <c r="C190" s="36" t="s">
        <v>347</v>
      </c>
    </row>
    <row r="191" spans="2:3" x14ac:dyDescent="0.25">
      <c r="B191" s="397" t="s">
        <v>108</v>
      </c>
      <c r="C191" s="36" t="s">
        <v>347</v>
      </c>
    </row>
    <row r="192" spans="2:3" x14ac:dyDescent="0.25">
      <c r="B192" s="397" t="s">
        <v>143</v>
      </c>
      <c r="C192" s="36" t="s">
        <v>347</v>
      </c>
    </row>
    <row r="193" spans="2:3" x14ac:dyDescent="0.25">
      <c r="B193" s="397" t="s">
        <v>146</v>
      </c>
      <c r="C193" s="36" t="s">
        <v>347</v>
      </c>
    </row>
    <row r="194" spans="2:3" x14ac:dyDescent="0.25">
      <c r="B194" s="397" t="s">
        <v>156</v>
      </c>
      <c r="C194" s="36" t="s">
        <v>347</v>
      </c>
    </row>
    <row r="195" spans="2:3" x14ac:dyDescent="0.25">
      <c r="B195" s="397" t="s">
        <v>197</v>
      </c>
      <c r="C195" s="36" t="s">
        <v>347</v>
      </c>
    </row>
    <row r="196" spans="2:3" x14ac:dyDescent="0.25">
      <c r="B196" s="397" t="s">
        <v>268</v>
      </c>
      <c r="C196" s="36" t="s">
        <v>347</v>
      </c>
    </row>
    <row r="197" spans="2:3" x14ac:dyDescent="0.25">
      <c r="B197" s="397" t="s">
        <v>276</v>
      </c>
      <c r="C197" s="36" t="s">
        <v>347</v>
      </c>
    </row>
    <row r="198" spans="2:3" x14ac:dyDescent="0.25">
      <c r="B198" s="397" t="s">
        <v>236</v>
      </c>
      <c r="C198" s="36" t="s">
        <v>347</v>
      </c>
    </row>
    <row r="199" spans="2:3" x14ac:dyDescent="0.25">
      <c r="B199" s="397" t="s">
        <v>296</v>
      </c>
      <c r="C199" s="36" t="s">
        <v>347</v>
      </c>
    </row>
    <row r="200" spans="2:3" x14ac:dyDescent="0.25">
      <c r="B200" s="397" t="s">
        <v>426</v>
      </c>
      <c r="C200" s="36" t="s">
        <v>347</v>
      </c>
    </row>
    <row r="201" spans="2:3" x14ac:dyDescent="0.25">
      <c r="B201" s="397" t="s">
        <v>225</v>
      </c>
      <c r="C201" s="36" t="s">
        <v>347</v>
      </c>
    </row>
    <row r="202" spans="2:3" x14ac:dyDescent="0.25">
      <c r="B202" s="397" t="s">
        <v>54</v>
      </c>
      <c r="C202" s="36" t="s">
        <v>350</v>
      </c>
    </row>
    <row r="203" spans="2:3" x14ac:dyDescent="0.25">
      <c r="B203" s="397" t="s">
        <v>71</v>
      </c>
      <c r="C203" s="36" t="s">
        <v>350</v>
      </c>
    </row>
    <row r="204" spans="2:3" x14ac:dyDescent="0.25">
      <c r="B204" s="397" t="s">
        <v>92</v>
      </c>
      <c r="C204" s="36" t="s">
        <v>350</v>
      </c>
    </row>
    <row r="205" spans="2:3" x14ac:dyDescent="0.25">
      <c r="B205" s="397" t="s">
        <v>118</v>
      </c>
      <c r="C205" s="36" t="s">
        <v>350</v>
      </c>
    </row>
    <row r="206" spans="2:3" x14ac:dyDescent="0.25">
      <c r="B206" s="397" t="s">
        <v>180</v>
      </c>
      <c r="C206" s="36" t="s">
        <v>350</v>
      </c>
    </row>
    <row r="207" spans="2:3" x14ac:dyDescent="0.25">
      <c r="B207" s="397" t="s">
        <v>400</v>
      </c>
      <c r="C207" s="36" t="s">
        <v>350</v>
      </c>
    </row>
    <row r="208" spans="2:3" x14ac:dyDescent="0.25">
      <c r="B208" s="397" t="s">
        <v>203</v>
      </c>
      <c r="C208" s="36" t="s">
        <v>350</v>
      </c>
    </row>
    <row r="209" spans="2:3" x14ac:dyDescent="0.25">
      <c r="B209" s="397" t="s">
        <v>404</v>
      </c>
      <c r="C209" s="36" t="s">
        <v>350</v>
      </c>
    </row>
    <row r="210" spans="2:3" x14ac:dyDescent="0.25">
      <c r="B210" s="397" t="s">
        <v>234</v>
      </c>
      <c r="C210" s="36" t="s">
        <v>350</v>
      </c>
    </row>
    <row r="211" spans="2:3" x14ac:dyDescent="0.25">
      <c r="B211" s="397" t="s">
        <v>249</v>
      </c>
      <c r="C211" s="36" t="s">
        <v>350</v>
      </c>
    </row>
    <row r="212" spans="2:3" x14ac:dyDescent="0.25">
      <c r="B212" s="397" t="s">
        <v>262</v>
      </c>
      <c r="C212" s="36" t="s">
        <v>350</v>
      </c>
    </row>
    <row r="213" spans="2:3" x14ac:dyDescent="0.25">
      <c r="B213" s="397" t="s">
        <v>270</v>
      </c>
      <c r="C213" s="36" t="s">
        <v>350</v>
      </c>
    </row>
    <row r="214" spans="2:3" x14ac:dyDescent="0.25">
      <c r="B214" s="397" t="s">
        <v>306</v>
      </c>
      <c r="C214" s="36" t="s">
        <v>350</v>
      </c>
    </row>
    <row r="215" spans="2:3" x14ac:dyDescent="0.25">
      <c r="B215" s="397" t="s">
        <v>326</v>
      </c>
      <c r="C215" s="36" t="s">
        <v>350</v>
      </c>
    </row>
    <row r="216" spans="2:3" x14ac:dyDescent="0.25">
      <c r="B216" s="397" t="s">
        <v>328</v>
      </c>
      <c r="C216" s="36" t="s">
        <v>350</v>
      </c>
    </row>
    <row r="217" spans="2:3" x14ac:dyDescent="0.25">
      <c r="B217" s="397" t="s">
        <v>423</v>
      </c>
      <c r="C217" s="36" t="s">
        <v>350</v>
      </c>
    </row>
    <row r="218" spans="2:3" x14ac:dyDescent="0.25">
      <c r="B218" s="397" t="s">
        <v>378</v>
      </c>
      <c r="C218" s="36" t="s">
        <v>379</v>
      </c>
    </row>
    <row r="219" spans="2:3" x14ac:dyDescent="0.25">
      <c r="B219" s="397" t="s">
        <v>135</v>
      </c>
      <c r="C219" s="36" t="s">
        <v>379</v>
      </c>
    </row>
    <row r="220" spans="2:3" x14ac:dyDescent="0.25">
      <c r="B220" s="397" t="s">
        <v>154</v>
      </c>
      <c r="C220" s="36" t="s">
        <v>379</v>
      </c>
    </row>
    <row r="221" spans="2:3" x14ac:dyDescent="0.25">
      <c r="B221" s="397" t="s">
        <v>258</v>
      </c>
      <c r="C221" s="36" t="s">
        <v>379</v>
      </c>
    </row>
    <row r="222" spans="2:3" x14ac:dyDescent="0.25">
      <c r="B222" s="397" t="s">
        <v>275</v>
      </c>
      <c r="C222" s="36" t="s">
        <v>379</v>
      </c>
    </row>
    <row r="223" spans="2:3" x14ac:dyDescent="0.25">
      <c r="B223" s="397" t="s">
        <v>290</v>
      </c>
      <c r="C223" s="36" t="s">
        <v>379</v>
      </c>
    </row>
    <row r="224" spans="2:3" x14ac:dyDescent="0.25">
      <c r="B224" s="397" t="s">
        <v>41</v>
      </c>
      <c r="C224" s="36" t="s">
        <v>379</v>
      </c>
    </row>
    <row r="225" spans="2:3" x14ac:dyDescent="0.25">
      <c r="B225" s="397" t="s">
        <v>430</v>
      </c>
      <c r="C225" s="36" t="s">
        <v>379</v>
      </c>
    </row>
    <row r="226" spans="2:3" x14ac:dyDescent="0.25">
      <c r="B226" s="397" t="s">
        <v>42</v>
      </c>
      <c r="C226" s="36" t="s">
        <v>346</v>
      </c>
    </row>
    <row r="227" spans="2:3" x14ac:dyDescent="0.25">
      <c r="B227" s="397" t="s">
        <v>67</v>
      </c>
      <c r="C227" s="36" t="s">
        <v>346</v>
      </c>
    </row>
    <row r="228" spans="2:3" x14ac:dyDescent="0.25">
      <c r="B228" s="397" t="s">
        <v>80</v>
      </c>
      <c r="C228" s="36" t="s">
        <v>346</v>
      </c>
    </row>
    <row r="229" spans="2:3" x14ac:dyDescent="0.25">
      <c r="B229" s="397" t="s">
        <v>106</v>
      </c>
      <c r="C229" s="36" t="s">
        <v>346</v>
      </c>
    </row>
    <row r="230" spans="2:3" x14ac:dyDescent="0.25">
      <c r="B230" s="397" t="s">
        <v>160</v>
      </c>
      <c r="C230" s="36" t="s">
        <v>346</v>
      </c>
    </row>
    <row r="231" spans="2:3" x14ac:dyDescent="0.25">
      <c r="B231" s="397" t="s">
        <v>152</v>
      </c>
      <c r="C231" s="36" t="s">
        <v>346</v>
      </c>
    </row>
    <row r="232" spans="2:3" x14ac:dyDescent="0.25">
      <c r="B232" s="397" t="s">
        <v>201</v>
      </c>
      <c r="C232" s="36" t="s">
        <v>346</v>
      </c>
    </row>
    <row r="233" spans="2:3" x14ac:dyDescent="0.25">
      <c r="B233" s="397" t="s">
        <v>237</v>
      </c>
      <c r="C233" s="36" t="s">
        <v>346</v>
      </c>
    </row>
    <row r="234" spans="2:3" x14ac:dyDescent="0.25">
      <c r="B234" s="397" t="s">
        <v>250</v>
      </c>
      <c r="C234" s="36" t="s">
        <v>346</v>
      </c>
    </row>
    <row r="235" spans="2:3" x14ac:dyDescent="0.25">
      <c r="B235" s="397" t="s">
        <v>277</v>
      </c>
      <c r="C235" s="36" t="s">
        <v>346</v>
      </c>
    </row>
    <row r="236" spans="2:3" x14ac:dyDescent="0.25">
      <c r="B236" s="397" t="s">
        <v>322</v>
      </c>
      <c r="C236" s="36" t="s">
        <v>346</v>
      </c>
    </row>
    <row r="237" spans="2:3" x14ac:dyDescent="0.25">
      <c r="B237" s="397" t="s">
        <v>33</v>
      </c>
      <c r="C237" s="36" t="s">
        <v>342</v>
      </c>
    </row>
    <row r="238" spans="2:3" x14ac:dyDescent="0.25">
      <c r="B238" s="397" t="s">
        <v>34</v>
      </c>
      <c r="C238" s="36" t="s">
        <v>342</v>
      </c>
    </row>
    <row r="239" spans="2:3" x14ac:dyDescent="0.25">
      <c r="B239" s="397" t="s">
        <v>53</v>
      </c>
      <c r="C239" s="36" t="s">
        <v>342</v>
      </c>
    </row>
    <row r="240" spans="2:3" x14ac:dyDescent="0.25">
      <c r="B240" s="397" t="s">
        <v>57</v>
      </c>
      <c r="C240" s="36" t="s">
        <v>342</v>
      </c>
    </row>
    <row r="241" spans="2:3" x14ac:dyDescent="0.25">
      <c r="B241" s="397" t="s">
        <v>59</v>
      </c>
      <c r="C241" s="36" t="s">
        <v>342</v>
      </c>
    </row>
    <row r="242" spans="2:3" x14ac:dyDescent="0.25">
      <c r="B242" s="397" t="s">
        <v>1460</v>
      </c>
      <c r="C242" s="36" t="s">
        <v>342</v>
      </c>
    </row>
    <row r="243" spans="2:3" x14ac:dyDescent="0.25">
      <c r="B243" s="397" t="s">
        <v>79</v>
      </c>
      <c r="C243" s="36" t="s">
        <v>342</v>
      </c>
    </row>
    <row r="244" spans="2:3" x14ac:dyDescent="0.25">
      <c r="B244" s="397" t="s">
        <v>82</v>
      </c>
      <c r="C244" s="36" t="s">
        <v>342</v>
      </c>
    </row>
    <row r="245" spans="2:3" x14ac:dyDescent="0.25">
      <c r="B245" s="397" t="s">
        <v>85</v>
      </c>
      <c r="C245" s="36" t="s">
        <v>342</v>
      </c>
    </row>
    <row r="246" spans="2:3" x14ac:dyDescent="0.25">
      <c r="B246" s="397" t="s">
        <v>101</v>
      </c>
      <c r="C246" s="36" t="s">
        <v>342</v>
      </c>
    </row>
    <row r="247" spans="2:3" x14ac:dyDescent="0.25">
      <c r="B247" s="397" t="s">
        <v>99</v>
      </c>
      <c r="C247" s="36" t="s">
        <v>342</v>
      </c>
    </row>
    <row r="248" spans="2:3" x14ac:dyDescent="0.25">
      <c r="B248" s="397" t="s">
        <v>100</v>
      </c>
      <c r="C248" s="36" t="s">
        <v>342</v>
      </c>
    </row>
    <row r="249" spans="2:3" x14ac:dyDescent="0.25">
      <c r="B249" s="397" t="s">
        <v>120</v>
      </c>
      <c r="C249" s="36" t="s">
        <v>342</v>
      </c>
    </row>
    <row r="250" spans="2:3" x14ac:dyDescent="0.25">
      <c r="B250" s="397" t="s">
        <v>121</v>
      </c>
      <c r="C250" s="36" t="s">
        <v>342</v>
      </c>
    </row>
    <row r="251" spans="2:3" x14ac:dyDescent="0.25">
      <c r="B251" s="397" t="s">
        <v>127</v>
      </c>
      <c r="C251" s="36" t="s">
        <v>342</v>
      </c>
    </row>
    <row r="252" spans="2:3" x14ac:dyDescent="0.25">
      <c r="B252" s="397" t="s">
        <v>113</v>
      </c>
      <c r="C252" s="36" t="s">
        <v>342</v>
      </c>
    </row>
    <row r="253" spans="2:3" x14ac:dyDescent="0.25">
      <c r="B253" s="397" t="s">
        <v>139</v>
      </c>
      <c r="C253" s="36" t="s">
        <v>342</v>
      </c>
    </row>
    <row r="254" spans="2:3" x14ac:dyDescent="0.25">
      <c r="B254" s="397" t="s">
        <v>147</v>
      </c>
      <c r="C254" s="36" t="s">
        <v>342</v>
      </c>
    </row>
    <row r="255" spans="2:3" x14ac:dyDescent="0.25">
      <c r="B255" s="397" t="s">
        <v>388</v>
      </c>
      <c r="C255" s="36" t="s">
        <v>342</v>
      </c>
    </row>
    <row r="256" spans="2:3" x14ac:dyDescent="0.25">
      <c r="B256" s="397" t="s">
        <v>167</v>
      </c>
      <c r="C256" s="36" t="s">
        <v>342</v>
      </c>
    </row>
    <row r="257" spans="2:3" x14ac:dyDescent="0.25">
      <c r="B257" s="397" t="s">
        <v>170</v>
      </c>
      <c r="C257" s="36" t="s">
        <v>342</v>
      </c>
    </row>
    <row r="258" spans="2:3" x14ac:dyDescent="0.25">
      <c r="B258" s="397" t="s">
        <v>171</v>
      </c>
      <c r="C258" s="36" t="s">
        <v>342</v>
      </c>
    </row>
    <row r="259" spans="2:3" x14ac:dyDescent="0.25">
      <c r="B259" s="397" t="s">
        <v>181</v>
      </c>
      <c r="C259" s="36" t="s">
        <v>342</v>
      </c>
    </row>
    <row r="260" spans="2:3" x14ac:dyDescent="0.25">
      <c r="B260" s="397" t="s">
        <v>186</v>
      </c>
      <c r="C260" s="36" t="s">
        <v>342</v>
      </c>
    </row>
    <row r="261" spans="2:3" x14ac:dyDescent="0.25">
      <c r="B261" s="397" t="s">
        <v>189</v>
      </c>
      <c r="C261" s="36" t="s">
        <v>342</v>
      </c>
    </row>
    <row r="262" spans="2:3" x14ac:dyDescent="0.25">
      <c r="B262" s="397" t="s">
        <v>196</v>
      </c>
      <c r="C262" s="36" t="s">
        <v>342</v>
      </c>
    </row>
    <row r="263" spans="2:3" x14ac:dyDescent="0.25">
      <c r="B263" s="397" t="s">
        <v>191</v>
      </c>
      <c r="C263" s="36" t="s">
        <v>342</v>
      </c>
    </row>
    <row r="264" spans="2:3" x14ac:dyDescent="0.25">
      <c r="B264" s="397" t="s">
        <v>219</v>
      </c>
      <c r="C264" s="36" t="s">
        <v>342</v>
      </c>
    </row>
    <row r="265" spans="2:3" x14ac:dyDescent="0.25">
      <c r="B265" s="397" t="s">
        <v>230</v>
      </c>
      <c r="C265" s="36" t="s">
        <v>342</v>
      </c>
    </row>
    <row r="266" spans="2:3" x14ac:dyDescent="0.25">
      <c r="B266" s="397" t="s">
        <v>248</v>
      </c>
      <c r="C266" s="36" t="s">
        <v>342</v>
      </c>
    </row>
    <row r="267" spans="2:3" x14ac:dyDescent="0.25">
      <c r="B267" s="397" t="s">
        <v>251</v>
      </c>
      <c r="C267" s="36" t="s">
        <v>342</v>
      </c>
    </row>
    <row r="268" spans="2:3" x14ac:dyDescent="0.25">
      <c r="B268" s="397" t="s">
        <v>263</v>
      </c>
      <c r="C268" s="36" t="s">
        <v>342</v>
      </c>
    </row>
    <row r="269" spans="2:3" x14ac:dyDescent="0.25">
      <c r="B269" s="397" t="s">
        <v>265</v>
      </c>
      <c r="C269" s="36" t="s">
        <v>342</v>
      </c>
    </row>
    <row r="270" spans="2:3" x14ac:dyDescent="0.25">
      <c r="B270" s="397" t="s">
        <v>272</v>
      </c>
      <c r="C270" s="36" t="s">
        <v>342</v>
      </c>
    </row>
    <row r="271" spans="2:3" x14ac:dyDescent="0.25">
      <c r="B271" s="397" t="s">
        <v>281</v>
      </c>
      <c r="C271" s="36" t="s">
        <v>342</v>
      </c>
    </row>
    <row r="272" spans="2:3" x14ac:dyDescent="0.25">
      <c r="B272" s="397" t="s">
        <v>242</v>
      </c>
      <c r="C272" s="36" t="s">
        <v>342</v>
      </c>
    </row>
    <row r="273" spans="2:3" x14ac:dyDescent="0.25">
      <c r="B273" s="397" t="s">
        <v>285</v>
      </c>
      <c r="C273" s="36" t="s">
        <v>342</v>
      </c>
    </row>
    <row r="274" spans="2:3" x14ac:dyDescent="0.25">
      <c r="B274" s="397" t="s">
        <v>287</v>
      </c>
      <c r="C274" s="36" t="s">
        <v>342</v>
      </c>
    </row>
    <row r="275" spans="2:3" x14ac:dyDescent="0.25">
      <c r="B275" s="397" t="s">
        <v>288</v>
      </c>
      <c r="C275" s="36" t="s">
        <v>342</v>
      </c>
    </row>
    <row r="276" spans="2:3" x14ac:dyDescent="0.25">
      <c r="B276" s="397" t="s">
        <v>292</v>
      </c>
      <c r="C276" s="36" t="s">
        <v>342</v>
      </c>
    </row>
    <row r="277" spans="2:3" x14ac:dyDescent="0.25">
      <c r="B277" s="397" t="s">
        <v>298</v>
      </c>
      <c r="C277" s="36" t="s">
        <v>342</v>
      </c>
    </row>
    <row r="278" spans="2:3" x14ac:dyDescent="0.25">
      <c r="B278" s="397" t="s">
        <v>300</v>
      </c>
      <c r="C278" s="36" t="s">
        <v>342</v>
      </c>
    </row>
    <row r="279" spans="2:3" x14ac:dyDescent="0.25">
      <c r="B279" s="397" t="s">
        <v>294</v>
      </c>
      <c r="C279" s="36" t="s">
        <v>342</v>
      </c>
    </row>
    <row r="280" spans="2:3" x14ac:dyDescent="0.25">
      <c r="B280" s="397" t="s">
        <v>303</v>
      </c>
      <c r="C280" s="36" t="s">
        <v>342</v>
      </c>
    </row>
    <row r="281" spans="2:3" x14ac:dyDescent="0.25">
      <c r="B281" s="397" t="s">
        <v>305</v>
      </c>
      <c r="C281" s="36" t="s">
        <v>342</v>
      </c>
    </row>
    <row r="282" spans="2:3" x14ac:dyDescent="0.25">
      <c r="B282" s="397" t="s">
        <v>317</v>
      </c>
      <c r="C282" s="36" t="s">
        <v>342</v>
      </c>
    </row>
    <row r="283" spans="2:3" x14ac:dyDescent="0.25">
      <c r="B283" s="397" t="s">
        <v>319</v>
      </c>
      <c r="C283" s="36" t="s">
        <v>342</v>
      </c>
    </row>
    <row r="284" spans="2:3" x14ac:dyDescent="0.25">
      <c r="B284" s="397" t="s">
        <v>314</v>
      </c>
      <c r="C284" s="36" t="s">
        <v>342</v>
      </c>
    </row>
    <row r="285" spans="2:3" x14ac:dyDescent="0.25">
      <c r="B285" s="397" t="s">
        <v>425</v>
      </c>
      <c r="C285" s="36" t="s">
        <v>342</v>
      </c>
    </row>
    <row r="286" spans="2:3" x14ac:dyDescent="0.25">
      <c r="B286" s="397" t="s">
        <v>212</v>
      </c>
      <c r="C286" s="36" t="s">
        <v>342</v>
      </c>
    </row>
    <row r="287" spans="2:3" x14ac:dyDescent="0.25">
      <c r="B287" s="397" t="s">
        <v>49</v>
      </c>
      <c r="C287" s="36" t="s">
        <v>348</v>
      </c>
    </row>
    <row r="288" spans="2:3" x14ac:dyDescent="0.25">
      <c r="B288" s="397" t="s">
        <v>69</v>
      </c>
      <c r="C288" s="36" t="s">
        <v>348</v>
      </c>
    </row>
    <row r="289" spans="2:3" x14ac:dyDescent="0.25">
      <c r="B289" s="397" t="s">
        <v>105</v>
      </c>
      <c r="C289" s="36" t="s">
        <v>348</v>
      </c>
    </row>
    <row r="290" spans="2:3" x14ac:dyDescent="0.25">
      <c r="B290" s="397" t="s">
        <v>104</v>
      </c>
      <c r="C290" s="36" t="s">
        <v>348</v>
      </c>
    </row>
    <row r="291" spans="2:3" x14ac:dyDescent="0.25">
      <c r="B291" s="397" t="s">
        <v>141</v>
      </c>
      <c r="C291" s="36" t="s">
        <v>348</v>
      </c>
    </row>
    <row r="292" spans="2:3" x14ac:dyDescent="0.25">
      <c r="B292" s="397" t="s">
        <v>153</v>
      </c>
      <c r="C292" s="36" t="s">
        <v>348</v>
      </c>
    </row>
    <row r="293" spans="2:3" x14ac:dyDescent="0.25">
      <c r="B293" s="397" t="s">
        <v>157</v>
      </c>
      <c r="C293" s="36" t="s">
        <v>348</v>
      </c>
    </row>
    <row r="294" spans="2:3" x14ac:dyDescent="0.25">
      <c r="B294" s="397" t="s">
        <v>391</v>
      </c>
      <c r="C294" s="36" t="s">
        <v>348</v>
      </c>
    </row>
    <row r="295" spans="2:3" x14ac:dyDescent="0.25">
      <c r="B295" s="397" t="s">
        <v>165</v>
      </c>
      <c r="C295" s="36" t="s">
        <v>348</v>
      </c>
    </row>
    <row r="296" spans="2:3" x14ac:dyDescent="0.25">
      <c r="B296" s="397" t="s">
        <v>172</v>
      </c>
      <c r="C296" s="36" t="s">
        <v>348</v>
      </c>
    </row>
    <row r="297" spans="2:3" x14ac:dyDescent="0.25">
      <c r="B297" s="397" t="s">
        <v>200</v>
      </c>
      <c r="C297" s="36" t="s">
        <v>348</v>
      </c>
    </row>
    <row r="298" spans="2:3" x14ac:dyDescent="0.25">
      <c r="B298" s="397" t="s">
        <v>215</v>
      </c>
      <c r="C298" s="36" t="s">
        <v>348</v>
      </c>
    </row>
    <row r="299" spans="2:3" x14ac:dyDescent="0.25">
      <c r="B299" s="397" t="s">
        <v>88</v>
      </c>
      <c r="C299" s="36" t="s">
        <v>368</v>
      </c>
    </row>
    <row r="300" spans="2:3" x14ac:dyDescent="0.25">
      <c r="B300" s="397" t="s">
        <v>149</v>
      </c>
      <c r="C300" s="36" t="s">
        <v>368</v>
      </c>
    </row>
    <row r="301" spans="2:3" x14ac:dyDescent="0.25">
      <c r="B301" s="397" t="s">
        <v>173</v>
      </c>
      <c r="C301" s="36" t="s">
        <v>368</v>
      </c>
    </row>
    <row r="302" spans="2:3" x14ac:dyDescent="0.25">
      <c r="B302" s="397" t="s">
        <v>395</v>
      </c>
      <c r="C302" s="36" t="s">
        <v>368</v>
      </c>
    </row>
    <row r="303" spans="2:3" x14ac:dyDescent="0.25">
      <c r="B303" s="397" t="s">
        <v>190</v>
      </c>
      <c r="C303" s="36" t="s">
        <v>368</v>
      </c>
    </row>
    <row r="304" spans="2:3" x14ac:dyDescent="0.25">
      <c r="B304" s="397" t="s">
        <v>195</v>
      </c>
      <c r="C304" s="36" t="s">
        <v>368</v>
      </c>
    </row>
    <row r="305" spans="2:3" x14ac:dyDescent="0.25">
      <c r="B305" s="397" t="s">
        <v>204</v>
      </c>
      <c r="C305" s="36" t="s">
        <v>368</v>
      </c>
    </row>
    <row r="306" spans="2:3" x14ac:dyDescent="0.25">
      <c r="B306" s="397" t="s">
        <v>256</v>
      </c>
      <c r="C306" s="36" t="s">
        <v>368</v>
      </c>
    </row>
    <row r="307" spans="2:3" x14ac:dyDescent="0.25">
      <c r="B307" s="397" t="s">
        <v>310</v>
      </c>
      <c r="C307" s="36" t="s">
        <v>368</v>
      </c>
    </row>
    <row r="308" spans="2:3" x14ac:dyDescent="0.25">
      <c r="B308" s="397" t="s">
        <v>312</v>
      </c>
      <c r="C308" s="36" t="s">
        <v>368</v>
      </c>
    </row>
    <row r="309" spans="2:3" x14ac:dyDescent="0.25">
      <c r="B309" s="397" t="s">
        <v>331</v>
      </c>
      <c r="C309" s="36" t="s">
        <v>368</v>
      </c>
    </row>
    <row r="310" spans="2:3" x14ac:dyDescent="0.25">
      <c r="B310" s="397" t="s">
        <v>50</v>
      </c>
      <c r="C310" s="36" t="s">
        <v>368</v>
      </c>
    </row>
    <row r="311" spans="2:3" x14ac:dyDescent="0.25">
      <c r="B311" s="397" t="s">
        <v>213</v>
      </c>
      <c r="C311" s="36" t="s">
        <v>368</v>
      </c>
    </row>
  </sheetData>
  <sheetProtection algorithmName="SHA-512" hashValue="DUYmp0Cz53lQynndGsLcmFYIISQ4ZhLzyb1qysdHF/+IAVX8oGghfxvD5DXByIjzlHN5OeyiVNh0VoHeG5Vbaw==" saltValue="NJdomLfU1dfakyZZ3kC0MQ==" spinCount="100000" sheet="1" objects="1" scenarios="1" selectLockedCells="1" autoFilter="0"/>
  <autoFilter ref="B9:C311" xr:uid="{6EDF98B9-60F5-43B5-BDEF-61210F1E9136}"/>
  <sortState xmlns:xlrd2="http://schemas.microsoft.com/office/spreadsheetml/2017/richdata2" ref="B10:C311">
    <sortCondition ref="C10:C311"/>
  </sortState>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4D72A-6AB2-43DE-9077-021D2F45F71E}">
  <sheetPr codeName="Sheet3">
    <tabColor theme="5"/>
    <pageSetUpPr fitToPage="1"/>
  </sheetPr>
  <dimension ref="B1:AB57"/>
  <sheetViews>
    <sheetView showGridLines="0" zoomScale="80" zoomScaleNormal="80" workbookViewId="0">
      <selection activeCell="C7" sqref="C7"/>
    </sheetView>
  </sheetViews>
  <sheetFormatPr defaultColWidth="9.140625" defaultRowHeight="15" x14ac:dyDescent="0.25"/>
  <cols>
    <col min="1" max="1" width="3.140625" customWidth="1"/>
    <col min="2" max="2" width="47.28515625" customWidth="1"/>
    <col min="3" max="3" width="38.28515625" customWidth="1"/>
    <col min="4" max="5" width="32.5703125" customWidth="1"/>
    <col min="6" max="6" width="66.7109375" customWidth="1"/>
    <col min="7" max="7" width="1.85546875" customWidth="1"/>
    <col min="8" max="8" width="22.7109375" customWidth="1"/>
    <col min="9" max="9" width="24.7109375" customWidth="1"/>
    <col min="10" max="10" width="1.7109375" customWidth="1"/>
    <col min="11" max="11" width="24.85546875" style="16" hidden="1" customWidth="1"/>
    <col min="12" max="12" width="26.140625" style="16" hidden="1" customWidth="1"/>
    <col min="13" max="13" width="9.140625" style="16" hidden="1" customWidth="1"/>
    <col min="14" max="14" width="12.140625" style="16" hidden="1" customWidth="1"/>
    <col min="15" max="15" width="14.5703125" style="16" hidden="1" customWidth="1"/>
    <col min="16" max="16" width="13" style="16" hidden="1" customWidth="1"/>
    <col min="17" max="18" width="15.42578125" style="16" hidden="1" customWidth="1"/>
    <col min="19" max="19" width="13.140625" style="16" hidden="1" customWidth="1"/>
    <col min="20" max="20" width="15.42578125" style="16" hidden="1" customWidth="1"/>
    <col min="21" max="23" width="9.140625" style="16" hidden="1" customWidth="1"/>
    <col min="24" max="24" width="24" style="16" hidden="1" customWidth="1"/>
    <col min="25" max="28" width="27.5703125" style="16" hidden="1" customWidth="1"/>
    <col min="29" max="29" width="9.140625" customWidth="1"/>
  </cols>
  <sheetData>
    <row r="1" spans="2:28" ht="30" customHeight="1" x14ac:dyDescent="0.25">
      <c r="K1" s="16" t="s">
        <v>1446</v>
      </c>
      <c r="L1" s="16" t="s">
        <v>1446</v>
      </c>
      <c r="M1" s="16" t="s">
        <v>1446</v>
      </c>
      <c r="N1" s="16" t="s">
        <v>1446</v>
      </c>
      <c r="O1" s="16" t="s">
        <v>1446</v>
      </c>
      <c r="P1" s="16" t="s">
        <v>1446</v>
      </c>
      <c r="Q1" s="16" t="s">
        <v>1446</v>
      </c>
      <c r="R1" s="16" t="s">
        <v>1446</v>
      </c>
      <c r="S1" s="16" t="s">
        <v>1446</v>
      </c>
      <c r="T1" s="16" t="s">
        <v>1446</v>
      </c>
      <c r="U1" s="16" t="s">
        <v>1446</v>
      </c>
      <c r="V1" s="16" t="s">
        <v>1446</v>
      </c>
      <c r="W1" s="16" t="s">
        <v>1446</v>
      </c>
      <c r="X1" s="16" t="s">
        <v>1446</v>
      </c>
      <c r="Y1" s="16" t="s">
        <v>1446</v>
      </c>
      <c r="Z1" s="16" t="s">
        <v>1446</v>
      </c>
      <c r="AA1" s="16" t="s">
        <v>1446</v>
      </c>
      <c r="AB1" s="16" t="s">
        <v>1446</v>
      </c>
    </row>
    <row r="2" spans="2:28" ht="30" x14ac:dyDescent="0.3">
      <c r="B2" s="15"/>
      <c r="C2" s="117" t="s">
        <v>8</v>
      </c>
    </row>
    <row r="3" spans="2:28" ht="72.599999999999994" customHeight="1" x14ac:dyDescent="0.25">
      <c r="D3" s="17"/>
      <c r="E3" s="17"/>
    </row>
    <row r="4" spans="2:28" ht="44.25" customHeight="1" x14ac:dyDescent="0.3">
      <c r="B4" s="15" t="s">
        <v>1355</v>
      </c>
      <c r="D4" s="17"/>
      <c r="E4" s="17"/>
    </row>
    <row r="5" spans="2:28" ht="15" customHeight="1" x14ac:dyDescent="0.25">
      <c r="E5" s="17"/>
      <c r="L5" s="16" t="s">
        <v>1626</v>
      </c>
      <c r="M5" s="265" t="s">
        <v>1206</v>
      </c>
    </row>
    <row r="6" spans="2:28" ht="15.75" x14ac:dyDescent="0.25">
      <c r="B6" s="345" t="s">
        <v>1133</v>
      </c>
      <c r="C6" s="345"/>
      <c r="E6" s="17"/>
      <c r="Y6" s="16" t="s">
        <v>1397</v>
      </c>
      <c r="AB6" s="22"/>
    </row>
    <row r="7" spans="2:28" ht="16.5" customHeight="1" x14ac:dyDescent="0.35">
      <c r="B7" s="34" t="s">
        <v>1211</v>
      </c>
      <c r="C7" s="242" t="s">
        <v>1243</v>
      </c>
      <c r="D7" s="199">
        <f>IF(OR($C$7="Befintlig byggnad Alternativ 1",$C$7="Befintlig byggnad Alternativ 2"),1,0)</f>
        <v>1</v>
      </c>
      <c r="E7" s="17"/>
      <c r="O7" s="347" t="s">
        <v>1230</v>
      </c>
      <c r="P7" s="347"/>
      <c r="Q7" s="347" t="s">
        <v>1231</v>
      </c>
      <c r="R7" s="347"/>
      <c r="S7" s="347" t="s">
        <v>1232</v>
      </c>
      <c r="T7" s="347"/>
      <c r="X7" s="16" t="s">
        <v>1361</v>
      </c>
      <c r="Y7" s="189" t="s">
        <v>1362</v>
      </c>
      <c r="Z7" s="188" t="s">
        <v>1364</v>
      </c>
      <c r="AA7" s="189" t="s">
        <v>1396</v>
      </c>
      <c r="AB7" s="189"/>
    </row>
    <row r="8" spans="2:28" ht="16.5" customHeight="1" x14ac:dyDescent="0.25">
      <c r="B8" s="34" t="s">
        <v>1134</v>
      </c>
      <c r="C8" s="242"/>
      <c r="E8" s="17"/>
      <c r="L8" s="16" t="s">
        <v>1245</v>
      </c>
      <c r="M8" s="16" t="s">
        <v>1205</v>
      </c>
      <c r="N8" s="16" t="s">
        <v>1233</v>
      </c>
      <c r="O8" s="22" t="s">
        <v>1235</v>
      </c>
      <c r="P8" s="22" t="s">
        <v>1234</v>
      </c>
      <c r="Q8" s="22" t="s">
        <v>1235</v>
      </c>
      <c r="R8" s="22" t="s">
        <v>1234</v>
      </c>
      <c r="S8" s="22" t="s">
        <v>1235</v>
      </c>
      <c r="T8" s="22" t="s">
        <v>1234</v>
      </c>
      <c r="V8" s="16" t="s">
        <v>1236</v>
      </c>
      <c r="X8" s="16" t="s">
        <v>1367</v>
      </c>
      <c r="Y8" s="22" t="str">
        <f>B43</f>
        <v>El</v>
      </c>
      <c r="Z8" s="22" t="str">
        <f>C43</f>
        <v>Generisk data</v>
      </c>
      <c r="AA8" s="22">
        <f>IF(Z8="Generisk data",D43/1000,E43/1000)</f>
        <v>2.1999999999999999E-2</v>
      </c>
      <c r="AB8" s="22"/>
    </row>
    <row r="9" spans="2:28" ht="16.5" customHeight="1" x14ac:dyDescent="0.35">
      <c r="B9" s="34" t="s">
        <v>1135</v>
      </c>
      <c r="C9" s="242"/>
      <c r="E9" s="17"/>
      <c r="L9" s="16" t="s">
        <v>1213</v>
      </c>
      <c r="M9" s="16" t="s">
        <v>1206</v>
      </c>
      <c r="N9" s="16" t="s">
        <v>1237</v>
      </c>
      <c r="O9" s="22">
        <v>85</v>
      </c>
      <c r="P9" s="22">
        <v>80</v>
      </c>
      <c r="Q9" s="22">
        <f>IF($C$21="JA",70*($C$32-0.35),0)</f>
        <v>0</v>
      </c>
      <c r="R9" s="27">
        <f>IF($D$32&lt;1,(70*($D$32-0.35)),(70*(1-0.35)))</f>
        <v>0.50000000000000211</v>
      </c>
      <c r="S9" s="27">
        <f>O9+Q9</f>
        <v>85</v>
      </c>
      <c r="T9" s="27">
        <f>P9+R9</f>
        <v>80.5</v>
      </c>
      <c r="V9" s="16" t="s">
        <v>1238</v>
      </c>
      <c r="X9" s="16" t="s">
        <v>1363</v>
      </c>
      <c r="Y9" s="22" t="str">
        <f t="shared" ref="Y9:Y13" si="0">B44</f>
        <v>Fjärrvärme</v>
      </c>
      <c r="Z9" s="22" t="str">
        <f t="shared" ref="Z9:Z12" si="1">C44</f>
        <v>Generisk data</v>
      </c>
      <c r="AA9" s="22">
        <f t="shared" ref="AA9:AA13" si="2">IF(Z9="Generisk data",D44/1000,E44/1000)</f>
        <v>0.06</v>
      </c>
      <c r="AB9" s="22"/>
    </row>
    <row r="10" spans="2:28" ht="16.5" customHeight="1" x14ac:dyDescent="0.35">
      <c r="B10" s="34" t="s">
        <v>1113</v>
      </c>
      <c r="C10" s="243"/>
      <c r="E10" s="17"/>
      <c r="L10" s="12" t="s">
        <v>1243</v>
      </c>
      <c r="N10" s="16" t="s">
        <v>1239</v>
      </c>
      <c r="O10" s="22">
        <v>75</v>
      </c>
      <c r="P10" s="22">
        <v>70</v>
      </c>
      <c r="Q10" s="22">
        <f>IF($C$21="JA",IF(($C$32&lt;0.6),(40*($C$32-0.35)),(40*(0.6-0.35))),0)</f>
        <v>0</v>
      </c>
      <c r="R10" s="27">
        <f>IF($D$32&lt;1,(40*($D$32-0.35)),(40*(1-0.35)))</f>
        <v>0.28571428571428692</v>
      </c>
      <c r="S10" s="27">
        <f>O10+Q10</f>
        <v>75</v>
      </c>
      <c r="T10" s="27">
        <f>P10+R10</f>
        <v>70.285714285714292</v>
      </c>
      <c r="V10" s="16" t="s">
        <v>1240</v>
      </c>
      <c r="Y10" s="22" t="str">
        <f t="shared" si="0"/>
        <v>Biobränsle</v>
      </c>
      <c r="Z10" s="22" t="str">
        <f t="shared" si="1"/>
        <v>Generisk data</v>
      </c>
      <c r="AA10" s="22">
        <f t="shared" si="2"/>
        <v>2.1999999999999999E-2</v>
      </c>
      <c r="AB10" s="22"/>
    </row>
    <row r="11" spans="2:28" ht="26.45" customHeight="1" x14ac:dyDescent="0.25">
      <c r="E11" s="17"/>
      <c r="L11" s="12" t="s">
        <v>1244</v>
      </c>
      <c r="Y11" s="22" t="str">
        <f t="shared" si="0"/>
        <v>Gas (Naturgas)</v>
      </c>
      <c r="Z11" s="22" t="str">
        <f t="shared" si="1"/>
        <v>Generisk data</v>
      </c>
      <c r="AA11" s="22">
        <f t="shared" si="2"/>
        <v>0.26369999999999999</v>
      </c>
      <c r="AB11" s="22"/>
    </row>
    <row r="12" spans="2:28" ht="16.5" customHeight="1" x14ac:dyDescent="0.25">
      <c r="B12" s="345" t="s">
        <v>1223</v>
      </c>
      <c r="C12" s="345"/>
      <c r="E12" s="17"/>
      <c r="Y12" s="22" t="str">
        <f t="shared" si="0"/>
        <v>Olja</v>
      </c>
      <c r="Z12" s="22" t="str">
        <f t="shared" si="1"/>
        <v>Generisk data</v>
      </c>
      <c r="AA12" s="22">
        <f t="shared" si="2"/>
        <v>0.30130000000000001</v>
      </c>
      <c r="AB12" s="22"/>
    </row>
    <row r="13" spans="2:28" ht="16.5" customHeight="1" x14ac:dyDescent="0.25">
      <c r="B13" s="34" t="s">
        <v>10</v>
      </c>
      <c r="C13" s="244"/>
      <c r="E13" s="17"/>
      <c r="Y13" s="22" t="str">
        <f t="shared" si="0"/>
        <v>Fjärrkyla</v>
      </c>
      <c r="Z13" s="22" t="str">
        <f>C48</f>
        <v>Generisk data</v>
      </c>
      <c r="AA13" s="22">
        <f t="shared" si="2"/>
        <v>0.06</v>
      </c>
      <c r="AB13" s="22"/>
    </row>
    <row r="14" spans="2:28" ht="16.5" customHeight="1" x14ac:dyDescent="0.25">
      <c r="B14" s="34" t="s">
        <v>12</v>
      </c>
      <c r="C14" s="242"/>
      <c r="E14" s="17"/>
      <c r="Y14" s="22"/>
      <c r="Z14" s="22"/>
      <c r="AA14" s="22"/>
    </row>
    <row r="15" spans="2:28" x14ac:dyDescent="0.25">
      <c r="B15" s="113" t="s">
        <v>11</v>
      </c>
      <c r="C15" s="242" t="s">
        <v>1625</v>
      </c>
      <c r="D15" s="41" t="str">
        <f>SUBSTITUTE(SUBSTITUTE(SUBSTITUTE(SUBSTITUTE(SUBSTITUTE(SUBSTITUTE(C15,"ä","ze"),"å","za"),"ö","zo"),"Ä","ze"),"Å","za"),"Ö","zo")</f>
        <v>DalsEds</v>
      </c>
      <c r="E15" s="395">
        <f>MATCH(D15,Ortlista!A1:A302,0)</f>
        <v>28</v>
      </c>
    </row>
    <row r="16" spans="2:28" ht="16.5" customHeight="1" x14ac:dyDescent="0.25">
      <c r="B16" s="113" t="s">
        <v>1356</v>
      </c>
      <c r="C16" s="242">
        <v>1000</v>
      </c>
      <c r="E16" s="17"/>
    </row>
    <row r="17" spans="2:28" ht="16.5" customHeight="1" x14ac:dyDescent="0.25">
      <c r="B17" s="113" t="s">
        <v>1220</v>
      </c>
      <c r="C17" s="242">
        <v>50</v>
      </c>
      <c r="E17" s="17"/>
    </row>
    <row r="18" spans="2:28" ht="16.5" customHeight="1" x14ac:dyDescent="0.25">
      <c r="B18" s="113" t="s">
        <v>1221</v>
      </c>
      <c r="C18" s="242">
        <v>50</v>
      </c>
      <c r="D18" s="17" t="str">
        <f>IF(OR((C17+C18)&lt;100,(C17+C18)&gt;100),"OBS! Summan av andel bostäder och andel lokaler ska vara 100%","")</f>
        <v/>
      </c>
      <c r="E18" s="17"/>
    </row>
    <row r="19" spans="2:28" ht="16.5" hidden="1" customHeight="1" x14ac:dyDescent="0.25">
      <c r="C19" s="245"/>
      <c r="E19" s="17"/>
      <c r="J19" s="3"/>
    </row>
    <row r="20" spans="2:28" ht="18" customHeight="1" x14ac:dyDescent="0.25">
      <c r="B20" s="112" t="s">
        <v>1224</v>
      </c>
      <c r="C20" s="242" t="s">
        <v>1206</v>
      </c>
      <c r="E20" s="23"/>
      <c r="H20" s="3"/>
      <c r="I20" s="3"/>
      <c r="J20" s="3"/>
    </row>
    <row r="21" spans="2:28" ht="32.1" customHeight="1" x14ac:dyDescent="0.25">
      <c r="B21" s="115" t="s">
        <v>1241</v>
      </c>
      <c r="C21" s="246" t="s">
        <v>1206</v>
      </c>
      <c r="E21" s="23"/>
      <c r="H21" s="3"/>
      <c r="I21" s="3"/>
      <c r="J21" s="3"/>
    </row>
    <row r="22" spans="2:28" ht="28.5" customHeight="1" x14ac:dyDescent="0.25">
      <c r="E22" s="23"/>
      <c r="F22" s="3"/>
      <c r="G22" s="3"/>
      <c r="H22" s="3"/>
      <c r="I22" s="3"/>
      <c r="J22" s="3"/>
    </row>
    <row r="23" spans="2:28" ht="16.5" customHeight="1" x14ac:dyDescent="0.25">
      <c r="B23" s="345" t="s">
        <v>1225</v>
      </c>
      <c r="C23" s="345"/>
      <c r="E23" s="3"/>
      <c r="F23" s="3"/>
      <c r="G23" s="3"/>
      <c r="H23" s="3"/>
      <c r="I23" s="3"/>
      <c r="J23" s="3"/>
    </row>
    <row r="24" spans="2:28" x14ac:dyDescent="0.25">
      <c r="B24" s="34" t="s">
        <v>1226</v>
      </c>
      <c r="C24" s="246" t="s">
        <v>1239</v>
      </c>
      <c r="D24" s="17" t="str">
        <f>IF(AND($C$24="BBR25",$D$7=1),"OBS! För befintliga byggnader ska BBR29 användas!","")</f>
        <v/>
      </c>
    </row>
    <row r="25" spans="2:28" ht="15.6" customHeight="1" x14ac:dyDescent="0.25">
      <c r="B25" s="113" t="s">
        <v>1227</v>
      </c>
      <c r="C25" s="249">
        <f>INDEX(Ortlista!A1:I302,MATCH(D15,Ortlista!A1:A302,0),9)</f>
        <v>1</v>
      </c>
      <c r="D25" s="41" t="str">
        <f>"Vald ort:"&amp;INDEX(Ortlista!A1:I302,E15,2)</f>
        <v>Vald ort:DalsEds</v>
      </c>
    </row>
    <row r="26" spans="2:28" ht="6" hidden="1" customHeight="1" x14ac:dyDescent="0.25"/>
    <row r="27" spans="2:28" ht="27.95" customHeight="1" x14ac:dyDescent="0.25">
      <c r="B27" s="114" t="s">
        <v>1228</v>
      </c>
      <c r="C27" s="246" t="s">
        <v>1297</v>
      </c>
    </row>
    <row r="28" spans="2:28" ht="27.95" hidden="1" customHeight="1" x14ac:dyDescent="0.25">
      <c r="B28" s="155"/>
      <c r="C28" s="2"/>
      <c r="K28"/>
      <c r="L28"/>
      <c r="M28"/>
      <c r="N28"/>
      <c r="O28"/>
      <c r="P28"/>
      <c r="Q28"/>
      <c r="R28"/>
      <c r="S28"/>
      <c r="T28"/>
      <c r="U28"/>
      <c r="V28"/>
      <c r="W28"/>
      <c r="X28"/>
      <c r="Y28"/>
      <c r="Z28"/>
      <c r="AA28"/>
      <c r="AB28"/>
    </row>
    <row r="29" spans="2:28" x14ac:dyDescent="0.25">
      <c r="C29" s="116" t="str">
        <f>IF(C17=0,"Bostadsdel (finns ej)", "Bostadsdel")</f>
        <v>Bostadsdel</v>
      </c>
      <c r="D29" s="116" t="str">
        <f>IF(C18=0,"Lokaldel (finns ej)", "Lokaldel")</f>
        <v>Lokaldel</v>
      </c>
    </row>
    <row r="30" spans="2:28" ht="16.5" customHeight="1" x14ac:dyDescent="0.35">
      <c r="B30" s="33" t="s">
        <v>1357</v>
      </c>
      <c r="C30" s="242">
        <v>0.35</v>
      </c>
      <c r="D30" s="242">
        <v>1.5</v>
      </c>
    </row>
    <row r="31" spans="2:28" ht="16.5" customHeight="1" x14ac:dyDescent="0.25">
      <c r="B31" s="33" t="s">
        <v>1358</v>
      </c>
      <c r="C31" s="242">
        <v>168</v>
      </c>
      <c r="D31" s="242">
        <v>40</v>
      </c>
    </row>
    <row r="32" spans="2:28" ht="16.5" customHeight="1" x14ac:dyDescent="0.35">
      <c r="B32" s="33" t="s">
        <v>1359</v>
      </c>
      <c r="C32" s="250">
        <f>IF(C17&gt;0,IF(C21="JA",C30*C31/168,0.35),"")</f>
        <v>0.35</v>
      </c>
      <c r="D32" s="250">
        <f>IF(C18&gt;0,D30*D31/168,"")</f>
        <v>0.35714285714285715</v>
      </c>
    </row>
    <row r="33" spans="2:6" ht="16.5" customHeight="1" x14ac:dyDescent="0.35">
      <c r="B33" s="34" t="s">
        <v>1360</v>
      </c>
      <c r="C33" s="251">
        <f>IF(C17&gt;0,IF($C$24="BBR25",$S$9,$S$10),"")</f>
        <v>75</v>
      </c>
      <c r="D33" s="251">
        <f>IF(C18&gt;0,IF($C$24="BBR25",$T$9,$T$10),"")</f>
        <v>70.285714285714292</v>
      </c>
    </row>
    <row r="34" spans="2:6" ht="16.5" customHeight="1" x14ac:dyDescent="0.25">
      <c r="C34" s="154">
        <f>IF(C33="",0,C33)</f>
        <v>75</v>
      </c>
      <c r="D34" s="154">
        <f>IF(D33="",0,D33)</f>
        <v>70.285714285714292</v>
      </c>
    </row>
    <row r="35" spans="2:6" ht="16.5" customHeight="1" x14ac:dyDescent="0.35">
      <c r="B35" s="34" t="s">
        <v>1242</v>
      </c>
      <c r="C35" s="251">
        <f>($C$34*C17+$D$34*C18)/100</f>
        <v>72.642857142857153</v>
      </c>
      <c r="D35" t="s">
        <v>1229</v>
      </c>
    </row>
    <row r="36" spans="2:6" ht="24" customHeight="1" x14ac:dyDescent="0.25"/>
    <row r="37" spans="2:6" ht="16.5" customHeight="1" x14ac:dyDescent="0.25">
      <c r="B37" s="345" t="s">
        <v>1421</v>
      </c>
      <c r="C37" s="345"/>
    </row>
    <row r="38" spans="2:6" ht="16.5" customHeight="1" x14ac:dyDescent="0.25">
      <c r="B38" s="34" t="s">
        <v>1398</v>
      </c>
      <c r="C38" s="249">
        <v>50</v>
      </c>
    </row>
    <row r="39" spans="2:6" ht="33.75" customHeight="1" x14ac:dyDescent="0.35">
      <c r="B39" s="224" t="s">
        <v>1365</v>
      </c>
      <c r="C39" s="252" t="s">
        <v>1423</v>
      </c>
    </row>
    <row r="40" spans="2:6" ht="16.5" customHeight="1" x14ac:dyDescent="0.25">
      <c r="B40" s="34" t="s">
        <v>1422</v>
      </c>
      <c r="C40" s="248">
        <v>1000</v>
      </c>
    </row>
    <row r="41" spans="2:6" ht="16.5" customHeight="1" x14ac:dyDescent="0.35">
      <c r="C41" s="60"/>
      <c r="D41" s="346" t="s">
        <v>1420</v>
      </c>
      <c r="E41" s="346"/>
    </row>
    <row r="42" spans="2:6" x14ac:dyDescent="0.25">
      <c r="B42" s="60" t="s">
        <v>1362</v>
      </c>
      <c r="C42" s="116" t="s">
        <v>1364</v>
      </c>
      <c r="D42" s="116" t="s">
        <v>1305</v>
      </c>
      <c r="E42" s="116" t="s">
        <v>1306</v>
      </c>
      <c r="F42" s="116" t="s">
        <v>1445</v>
      </c>
    </row>
    <row r="43" spans="2:6" ht="15.6" customHeight="1" x14ac:dyDescent="0.25">
      <c r="B43" s="156" t="s">
        <v>1085</v>
      </c>
      <c r="C43" s="242" t="s">
        <v>1367</v>
      </c>
      <c r="D43" s="407">
        <v>22</v>
      </c>
      <c r="E43" s="157"/>
      <c r="F43" s="253"/>
    </row>
    <row r="44" spans="2:6" ht="15.6" customHeight="1" x14ac:dyDescent="0.25">
      <c r="B44" s="156" t="s">
        <v>14</v>
      </c>
      <c r="C44" s="242" t="s">
        <v>1367</v>
      </c>
      <c r="D44" s="407">
        <v>60</v>
      </c>
      <c r="E44" s="157"/>
      <c r="F44" s="253"/>
    </row>
    <row r="45" spans="2:6" ht="15.6" customHeight="1" x14ac:dyDescent="0.25">
      <c r="B45" s="156" t="s">
        <v>1095</v>
      </c>
      <c r="C45" s="242" t="s">
        <v>1367</v>
      </c>
      <c r="D45" s="407">
        <v>22</v>
      </c>
      <c r="E45" s="157"/>
      <c r="F45" s="253"/>
    </row>
    <row r="46" spans="2:6" ht="15.6" customHeight="1" x14ac:dyDescent="0.25">
      <c r="B46" s="156" t="s">
        <v>1444</v>
      </c>
      <c r="C46" s="242" t="s">
        <v>1367</v>
      </c>
      <c r="D46" s="407">
        <v>263.7</v>
      </c>
      <c r="E46" s="157"/>
      <c r="F46" s="253"/>
    </row>
    <row r="47" spans="2:6" ht="15.6" customHeight="1" x14ac:dyDescent="0.25">
      <c r="B47" s="156" t="s">
        <v>1097</v>
      </c>
      <c r="C47" s="242" t="s">
        <v>1367</v>
      </c>
      <c r="D47" s="407">
        <v>301.3</v>
      </c>
      <c r="E47" s="157"/>
      <c r="F47" s="253"/>
    </row>
    <row r="48" spans="2:6" ht="15.6" customHeight="1" x14ac:dyDescent="0.25">
      <c r="B48" s="156" t="s">
        <v>25</v>
      </c>
      <c r="C48" s="242" t="s">
        <v>1367</v>
      </c>
      <c r="D48" s="407">
        <v>60</v>
      </c>
      <c r="E48" s="157"/>
      <c r="F48" s="253"/>
    </row>
    <row r="52" spans="2:4" x14ac:dyDescent="0.25">
      <c r="B52" s="20"/>
      <c r="C52" s="20"/>
      <c r="D52" s="20"/>
    </row>
    <row r="53" spans="2:4" x14ac:dyDescent="0.25">
      <c r="B53" s="20"/>
      <c r="C53" s="20"/>
      <c r="D53" s="20"/>
    </row>
    <row r="54" spans="2:4" x14ac:dyDescent="0.25">
      <c r="B54" s="20"/>
      <c r="C54" s="20"/>
      <c r="D54" s="20"/>
    </row>
    <row r="55" spans="2:4" x14ac:dyDescent="0.25">
      <c r="B55" s="20"/>
    </row>
    <row r="56" spans="2:4" x14ac:dyDescent="0.25">
      <c r="B56" s="20"/>
      <c r="D56" s="20"/>
    </row>
    <row r="57" spans="2:4" x14ac:dyDescent="0.25">
      <c r="B57" s="20"/>
      <c r="D57" s="20"/>
    </row>
  </sheetData>
  <sheetProtection algorithmName="SHA-512" hashValue="myhQTAGMeIUsBIdJUJFbVTbzUw05bqKmTUYZ2Al8n/ra9pLOJOOBqVxk/VSFHT+mGyeHYQDny7JGhd8fHxTG0g==" saltValue="2fQ8vFPm51R+Jf/0B0mVhw==" spinCount="100000" sheet="1" objects="1" scenarios="1" selectLockedCells="1"/>
  <mergeCells count="8">
    <mergeCell ref="Q7:R7"/>
    <mergeCell ref="S7:T7"/>
    <mergeCell ref="B12:C12"/>
    <mergeCell ref="B37:C37"/>
    <mergeCell ref="D41:E41"/>
    <mergeCell ref="B6:C6"/>
    <mergeCell ref="B23:C23"/>
    <mergeCell ref="O7:P7"/>
  </mergeCells>
  <conditionalFormatting sqref="E19:E22">
    <cfRule type="expression" dxfId="192" priority="144">
      <formula>#REF!=#REF!</formula>
    </cfRule>
  </conditionalFormatting>
  <conditionalFormatting sqref="B27:C28">
    <cfRule type="expression" dxfId="191" priority="71">
      <formula>$C$24="BBR29"</formula>
    </cfRule>
  </conditionalFormatting>
  <conditionalFormatting sqref="B20:C21">
    <cfRule type="expression" dxfId="190" priority="70">
      <formula>$C$17=0</formula>
    </cfRule>
  </conditionalFormatting>
  <conditionalFormatting sqref="B29:E35">
    <cfRule type="expression" dxfId="189" priority="69">
      <formula>$C$7="Befintlig byggnad Alternativ 1"</formula>
    </cfRule>
  </conditionalFormatting>
  <conditionalFormatting sqref="E43">
    <cfRule type="expression" dxfId="188" priority="65">
      <formula>$C$43="Specifik data"</formula>
    </cfRule>
    <cfRule type="expression" dxfId="187" priority="66">
      <formula>$C$43="Generisk data"</formula>
    </cfRule>
  </conditionalFormatting>
  <conditionalFormatting sqref="D43">
    <cfRule type="expression" dxfId="186" priority="67">
      <formula>$C$43="Specifik data"</formula>
    </cfRule>
    <cfRule type="expression" dxfId="185" priority="68">
      <formula>$C$43="Generisk data"</formula>
    </cfRule>
  </conditionalFormatting>
  <conditionalFormatting sqref="D45">
    <cfRule type="expression" dxfId="184" priority="53">
      <formula>$C$45="Generisk data"</formula>
    </cfRule>
    <cfRule type="expression" dxfId="183" priority="63">
      <formula>$C$45="Specifik data"</formula>
    </cfRule>
  </conditionalFormatting>
  <conditionalFormatting sqref="D46">
    <cfRule type="expression" dxfId="182" priority="51">
      <formula>$C$46="Generisk data"</formula>
    </cfRule>
    <cfRule type="expression" dxfId="181" priority="62">
      <formula>$C$46="Specifik data"</formula>
    </cfRule>
  </conditionalFormatting>
  <conditionalFormatting sqref="D47">
    <cfRule type="expression" dxfId="180" priority="50">
      <formula>$C$47="Generisk data"</formula>
    </cfRule>
    <cfRule type="expression" dxfId="179" priority="60">
      <formula>$C$47="Specifik data"</formula>
    </cfRule>
  </conditionalFormatting>
  <conditionalFormatting sqref="E44">
    <cfRule type="expression" dxfId="178" priority="49">
      <formula>$C$44="Generisk data"</formula>
    </cfRule>
    <cfRule type="expression" dxfId="177" priority="59">
      <formula>$C$44="Specifik data"</formula>
    </cfRule>
  </conditionalFormatting>
  <conditionalFormatting sqref="E45">
    <cfRule type="expression" dxfId="176" priority="48">
      <formula>$C$45="Generisk data"</formula>
    </cfRule>
    <cfRule type="expression" dxfId="175" priority="58">
      <formula>$C$45="Specifik data"</formula>
    </cfRule>
  </conditionalFormatting>
  <conditionalFormatting sqref="E46">
    <cfRule type="expression" dxfId="174" priority="46">
      <formula>$C$46="Generisk data"</formula>
    </cfRule>
    <cfRule type="expression" dxfId="173" priority="56">
      <formula>$C$46="Specifik data"</formula>
    </cfRule>
  </conditionalFormatting>
  <conditionalFormatting sqref="E47:E48">
    <cfRule type="expression" dxfId="172" priority="45">
      <formula>$C$47="Generisk data"</formula>
    </cfRule>
    <cfRule type="expression" dxfId="171" priority="55">
      <formula>$C$47="Specifik data"</formula>
    </cfRule>
  </conditionalFormatting>
  <conditionalFormatting sqref="D44">
    <cfRule type="expression" dxfId="170" priority="43">
      <formula>$C$44="Specifik data"</formula>
    </cfRule>
    <cfRule type="expression" dxfId="169" priority="44">
      <formula>$C$44="Generisk data"</formula>
    </cfRule>
  </conditionalFormatting>
  <conditionalFormatting sqref="D48">
    <cfRule type="expression" dxfId="168" priority="11">
      <formula>$C$48="Specifik data"</formula>
    </cfRule>
    <cfRule type="expression" dxfId="167" priority="12">
      <formula>$C$48="Generisk data"</formula>
    </cfRule>
  </conditionalFormatting>
  <conditionalFormatting sqref="C30:C31">
    <cfRule type="expression" dxfId="166" priority="4">
      <formula>$C$21="NEJ"</formula>
    </cfRule>
    <cfRule type="expression" dxfId="165" priority="6">
      <formula>$C$29="Bostadsdel (finns ej)"</formula>
    </cfRule>
  </conditionalFormatting>
  <conditionalFormatting sqref="D30:D31">
    <cfRule type="expression" dxfId="164" priority="5">
      <formula>$D$29="Lokaldel (finns ej)"</formula>
    </cfRule>
  </conditionalFormatting>
  <conditionalFormatting sqref="D15:E15">
    <cfRule type="expression" dxfId="163" priority="3">
      <formula>$M$5=$M$9</formula>
    </cfRule>
  </conditionalFormatting>
  <conditionalFormatting sqref="D25">
    <cfRule type="expression" dxfId="162" priority="1">
      <formula>$M$5=$M$9</formula>
    </cfRule>
  </conditionalFormatting>
  <dataValidations count="7">
    <dataValidation type="list" allowBlank="1" showInputMessage="1" showErrorMessage="1" sqref="C7" xr:uid="{BDC0DB81-1B3D-46F4-AA10-0FC7B13F3814}">
      <formula1>$L$9:$L$11</formula1>
    </dataValidation>
    <dataValidation type="list" allowBlank="1" showInputMessage="1" showErrorMessage="1" sqref="C20:C21 M5" xr:uid="{46B5AEB1-CB5A-41B0-B30E-BE19F7F92FFC}">
      <formula1>$M$8:$M$9</formula1>
    </dataValidation>
    <dataValidation type="list" allowBlank="1" showInputMessage="1" showErrorMessage="1" sqref="C24" xr:uid="{0F25B88C-477C-4FB8-B359-229BA520B401}">
      <formula1>$N$9:$N$10</formula1>
    </dataValidation>
    <dataValidation type="list" allowBlank="1" showInputMessage="1" showErrorMessage="1" sqref="C27:C28" xr:uid="{42F32FD7-4702-4082-A3D0-A5A49FA491FC}">
      <formula1>$V$9:$V$10</formula1>
    </dataValidation>
    <dataValidation type="whole" allowBlank="1" showInputMessage="1" showErrorMessage="1" error="Andel bostäder ska vara mellan 0 och 100 %" sqref="C17" xr:uid="{6D0970E5-608C-4B77-B3F1-CC2DD6819698}">
      <formula1>0</formula1>
      <formula2>100</formula2>
    </dataValidation>
    <dataValidation type="whole" allowBlank="1" showInputMessage="1" showErrorMessage="1" error="Andel lokaler ska vara mellan 0 och 100 %" sqref="C18" xr:uid="{53135741-6695-434D-A434-4DDACBA8207A}">
      <formula1>0</formula1>
      <formula2>100</formula2>
    </dataValidation>
    <dataValidation type="list" allowBlank="1" showInputMessage="1" showErrorMessage="1" sqref="C43:C48" xr:uid="{F24E747F-1559-49D6-92C8-EC06D4C9D8BF}">
      <formula1>$X$8:$X$9</formula1>
    </dataValidation>
  </dataValidations>
  <pageMargins left="0.70866141732283472" right="0.70866141732283472" top="0.74803149606299213" bottom="0.74803149606299213" header="0.31496062992125984" footer="0.31496062992125984"/>
  <pageSetup paperSize="9" scale="15" orientation="portrait" cellComments="atEnd"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18BC6AA-C825-4DFD-AEED-C26FEA4D2A22}">
          <x14:formula1>
            <xm:f>Ortlista!$B$1:$B$302</xm:f>
          </x14:formula1>
          <xm:sqref>C15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61029-6861-4E71-A9E8-A1FD74F1C83D}">
  <sheetPr codeName="Sheet2">
    <tabColor theme="5"/>
    <pageSetUpPr fitToPage="1"/>
  </sheetPr>
  <dimension ref="A1:FF256"/>
  <sheetViews>
    <sheetView showGridLines="0" tabSelected="1" zoomScale="70" zoomScaleNormal="70" workbookViewId="0">
      <selection activeCell="G14" sqref="G14"/>
    </sheetView>
  </sheetViews>
  <sheetFormatPr defaultColWidth="9.140625" defaultRowHeight="15" x14ac:dyDescent="0.25"/>
  <cols>
    <col min="1" max="1" width="3.7109375" customWidth="1"/>
    <col min="2" max="2" width="3.140625" customWidth="1"/>
    <col min="3" max="3" width="48.85546875" customWidth="1"/>
    <col min="4" max="4" width="51.42578125" customWidth="1"/>
    <col min="5" max="5" width="3" customWidth="1"/>
    <col min="6" max="6" width="21.28515625" customWidth="1"/>
    <col min="7" max="7" width="18.85546875" customWidth="1"/>
    <col min="8" max="8" width="1.85546875" customWidth="1"/>
    <col min="9" max="9" width="22.7109375" customWidth="1"/>
    <col min="10" max="10" width="25.85546875" customWidth="1"/>
    <col min="11" max="11" width="1.7109375" customWidth="1"/>
    <col min="12" max="12" width="23.42578125" customWidth="1"/>
    <col min="13" max="13" width="26.85546875" customWidth="1"/>
    <col min="14" max="14" width="2.42578125" customWidth="1"/>
    <col min="15" max="15" width="22.5703125" customWidth="1"/>
    <col min="16" max="16" width="24.85546875" customWidth="1"/>
    <col min="17" max="17" width="2.85546875" customWidth="1"/>
    <col min="18" max="19" width="24.85546875" customWidth="1"/>
    <col min="20" max="20" width="3.7109375" customWidth="1"/>
    <col min="21" max="22" width="24.85546875" customWidth="1"/>
    <col min="23" max="23" width="3.140625" customWidth="1"/>
    <col min="24" max="24" width="75.28515625" style="85" hidden="1" customWidth="1"/>
    <col min="25" max="28" width="15" style="85" hidden="1" customWidth="1"/>
    <col min="29" max="29" width="15.28515625" style="85" hidden="1" customWidth="1"/>
    <col min="30" max="30" width="19.7109375" style="85" hidden="1" customWidth="1"/>
    <col min="31" max="31" width="18.28515625" style="85" hidden="1" customWidth="1"/>
    <col min="32" max="32" width="42.5703125" style="85" hidden="1" customWidth="1"/>
    <col min="33" max="37" width="19.7109375" style="85" hidden="1" customWidth="1"/>
    <col min="38" max="38" width="24.7109375" style="85" hidden="1" customWidth="1"/>
    <col min="39" max="39" width="26.42578125" style="85" hidden="1" customWidth="1"/>
    <col min="40" max="45" width="19.7109375" style="85" hidden="1" customWidth="1"/>
    <col min="46" max="46" width="24" style="85" hidden="1" customWidth="1"/>
    <col min="47" max="48" width="19.7109375" style="85" hidden="1" customWidth="1"/>
    <col min="49" max="49" width="29.28515625" style="85" hidden="1" customWidth="1"/>
    <col min="50" max="50" width="24" style="85" hidden="1" customWidth="1"/>
    <col min="51" max="51" width="26.5703125" style="16" hidden="1" customWidth="1"/>
    <col min="52" max="53" width="19.7109375" style="16" hidden="1" customWidth="1"/>
    <col min="54" max="54" width="25.140625" style="16" hidden="1" customWidth="1"/>
    <col min="55" max="57" width="19.7109375" style="16" hidden="1" customWidth="1"/>
    <col min="58" max="58" width="24.140625" style="16" hidden="1" customWidth="1"/>
    <col min="59" max="59" width="17.85546875" style="16" hidden="1" customWidth="1"/>
    <col min="60" max="60" width="19.7109375" style="16" hidden="1" customWidth="1"/>
    <col min="61" max="61" width="23.85546875" style="16" hidden="1" customWidth="1"/>
    <col min="62" max="62" width="19.7109375" style="16" hidden="1" customWidth="1"/>
    <col min="63" max="63" width="18.28515625" style="16" hidden="1" customWidth="1"/>
    <col min="64" max="64" width="15" style="16" hidden="1" customWidth="1"/>
    <col min="65" max="65" width="19.42578125" style="16" hidden="1" customWidth="1"/>
    <col min="66" max="67" width="15" style="16" hidden="1" customWidth="1"/>
    <col min="68" max="70" width="18.7109375" style="16" hidden="1" customWidth="1"/>
    <col min="71" max="76" width="20.42578125" style="16" hidden="1" customWidth="1"/>
    <col min="77" max="77" width="13.42578125" style="16" hidden="1" customWidth="1"/>
    <col min="78" max="86" width="15" style="16" hidden="1" customWidth="1"/>
    <col min="87" max="87" width="20.140625" style="16" hidden="1" customWidth="1"/>
    <col min="88" max="115" width="15" style="16" hidden="1" customWidth="1"/>
    <col min="116" max="116" width="40.140625" style="16" hidden="1" customWidth="1"/>
    <col min="117" max="122" width="15.7109375" style="16" hidden="1" customWidth="1"/>
    <col min="123" max="123" width="13.85546875" style="16" hidden="1" customWidth="1"/>
    <col min="124" max="124" width="15" style="16" hidden="1" customWidth="1"/>
    <col min="125" max="129" width="15" hidden="1" customWidth="1"/>
    <col min="130" max="130" width="22.7109375" hidden="1" customWidth="1"/>
    <col min="131" max="131" width="15.28515625" hidden="1" customWidth="1"/>
    <col min="132" max="133" width="9.140625" hidden="1" customWidth="1"/>
    <col min="134" max="134" width="13.85546875" hidden="1" customWidth="1"/>
    <col min="135" max="141" width="9.140625" hidden="1" customWidth="1"/>
    <col min="142" max="142" width="19.42578125" hidden="1" customWidth="1"/>
    <col min="143" max="143" width="26.7109375" hidden="1" customWidth="1"/>
    <col min="144" max="144" width="19.42578125" hidden="1" customWidth="1"/>
    <col min="145" max="145" width="28.85546875" hidden="1" customWidth="1"/>
    <col min="146" max="146" width="19.42578125" hidden="1" customWidth="1"/>
    <col min="147" max="147" width="38.140625" hidden="1" customWidth="1"/>
    <col min="148" max="148" width="35.28515625" hidden="1" customWidth="1"/>
    <col min="149" max="149" width="32.42578125" hidden="1" customWidth="1"/>
    <col min="150" max="155" width="27.42578125" hidden="1" customWidth="1"/>
    <col min="156" max="156" width="9.140625" hidden="1" customWidth="1"/>
    <col min="157" max="161" width="15.42578125" hidden="1" customWidth="1"/>
    <col min="162" max="162" width="14.140625" hidden="1" customWidth="1"/>
    <col min="163" max="529" width="9.140625" customWidth="1"/>
  </cols>
  <sheetData>
    <row r="1" spans="2:162" ht="32.25" customHeight="1" x14ac:dyDescent="0.25">
      <c r="F1" s="17"/>
      <c r="G1" s="17"/>
      <c r="X1" s="85" t="s">
        <v>1446</v>
      </c>
      <c r="Y1" s="85" t="s">
        <v>1446</v>
      </c>
      <c r="Z1" s="85" t="s">
        <v>1446</v>
      </c>
      <c r="AA1" s="85" t="s">
        <v>1446</v>
      </c>
      <c r="AB1" s="85" t="s">
        <v>1446</v>
      </c>
      <c r="AC1" s="85" t="s">
        <v>1446</v>
      </c>
      <c r="AD1" s="85" t="s">
        <v>1446</v>
      </c>
      <c r="AE1" s="85" t="s">
        <v>1446</v>
      </c>
      <c r="AF1" s="85" t="s">
        <v>1446</v>
      </c>
      <c r="AG1" s="85" t="s">
        <v>1446</v>
      </c>
      <c r="AH1" s="85" t="s">
        <v>1446</v>
      </c>
      <c r="AI1" s="85" t="s">
        <v>1446</v>
      </c>
      <c r="AJ1" s="85" t="s">
        <v>1446</v>
      </c>
      <c r="AK1" s="85" t="s">
        <v>1446</v>
      </c>
      <c r="AL1" s="85" t="s">
        <v>1446</v>
      </c>
      <c r="AM1" s="85" t="s">
        <v>1446</v>
      </c>
      <c r="AN1" s="85" t="s">
        <v>1446</v>
      </c>
      <c r="AO1" s="85" t="s">
        <v>1446</v>
      </c>
      <c r="AP1" s="85" t="s">
        <v>1446</v>
      </c>
      <c r="AQ1" s="85" t="s">
        <v>1446</v>
      </c>
      <c r="AR1" s="85" t="s">
        <v>1446</v>
      </c>
      <c r="AS1" s="85" t="s">
        <v>1446</v>
      </c>
      <c r="AT1" s="85" t="s">
        <v>1446</v>
      </c>
      <c r="AU1" s="85" t="s">
        <v>1446</v>
      </c>
      <c r="AV1" s="85" t="s">
        <v>1446</v>
      </c>
      <c r="AW1" s="85" t="s">
        <v>1446</v>
      </c>
      <c r="AX1" s="85" t="s">
        <v>1446</v>
      </c>
      <c r="AY1" s="16" t="s">
        <v>1446</v>
      </c>
      <c r="AZ1" s="16" t="s">
        <v>1446</v>
      </c>
      <c r="BA1" s="16" t="s">
        <v>1446</v>
      </c>
      <c r="BB1" s="16" t="s">
        <v>1446</v>
      </c>
      <c r="BC1" s="16" t="s">
        <v>1446</v>
      </c>
      <c r="BD1" s="16" t="s">
        <v>1446</v>
      </c>
      <c r="BE1" s="16" t="s">
        <v>1446</v>
      </c>
      <c r="BF1" s="16" t="s">
        <v>1446</v>
      </c>
      <c r="BG1" s="16" t="s">
        <v>1446</v>
      </c>
      <c r="BH1" s="16" t="s">
        <v>1446</v>
      </c>
      <c r="BI1" s="16" t="s">
        <v>1446</v>
      </c>
      <c r="BJ1" s="16" t="s">
        <v>1446</v>
      </c>
      <c r="BK1" s="16" t="s">
        <v>1446</v>
      </c>
      <c r="BL1" s="16" t="s">
        <v>1446</v>
      </c>
      <c r="BM1" s="16" t="s">
        <v>1446</v>
      </c>
      <c r="BN1" s="16" t="s">
        <v>1446</v>
      </c>
      <c r="BO1" s="16" t="s">
        <v>1446</v>
      </c>
      <c r="BP1" s="16" t="s">
        <v>1446</v>
      </c>
      <c r="BQ1" s="16" t="s">
        <v>1446</v>
      </c>
      <c r="BR1" s="16" t="s">
        <v>1446</v>
      </c>
      <c r="BS1" s="16" t="s">
        <v>1446</v>
      </c>
      <c r="BT1" s="16" t="s">
        <v>1446</v>
      </c>
      <c r="BU1" s="16" t="s">
        <v>1446</v>
      </c>
      <c r="BV1" s="16" t="s">
        <v>1446</v>
      </c>
      <c r="BW1" s="16" t="s">
        <v>1446</v>
      </c>
      <c r="BX1" s="16" t="s">
        <v>1446</v>
      </c>
      <c r="BY1" s="16" t="s">
        <v>1446</v>
      </c>
      <c r="BZ1" s="16" t="s">
        <v>1446</v>
      </c>
      <c r="CA1" s="16" t="s">
        <v>1446</v>
      </c>
      <c r="CB1" s="16" t="s">
        <v>1446</v>
      </c>
      <c r="CC1" s="16" t="s">
        <v>1446</v>
      </c>
      <c r="CD1" s="16" t="s">
        <v>1446</v>
      </c>
      <c r="CE1" s="16" t="s">
        <v>1446</v>
      </c>
      <c r="CF1" s="16" t="s">
        <v>1446</v>
      </c>
      <c r="CG1" s="16" t="s">
        <v>1446</v>
      </c>
      <c r="CH1" s="16" t="s">
        <v>1446</v>
      </c>
      <c r="CI1" s="16" t="s">
        <v>1446</v>
      </c>
      <c r="CJ1" s="16" t="s">
        <v>1446</v>
      </c>
      <c r="CK1" s="16" t="s">
        <v>1446</v>
      </c>
      <c r="CL1" s="16" t="s">
        <v>1446</v>
      </c>
      <c r="CM1" s="16" t="s">
        <v>1446</v>
      </c>
      <c r="CN1" s="16" t="s">
        <v>1446</v>
      </c>
      <c r="CO1" s="16" t="s">
        <v>1446</v>
      </c>
      <c r="CP1" s="16" t="s">
        <v>1446</v>
      </c>
      <c r="CQ1" s="16" t="s">
        <v>1446</v>
      </c>
      <c r="CR1" s="16" t="s">
        <v>1446</v>
      </c>
      <c r="CS1" s="16" t="s">
        <v>1446</v>
      </c>
      <c r="CT1" s="16" t="s">
        <v>1446</v>
      </c>
      <c r="CU1" s="16" t="s">
        <v>1446</v>
      </c>
      <c r="CV1" s="16" t="s">
        <v>1446</v>
      </c>
      <c r="CW1" s="16" t="s">
        <v>1446</v>
      </c>
      <c r="CX1" s="16" t="s">
        <v>1446</v>
      </c>
      <c r="CY1" s="16" t="s">
        <v>1446</v>
      </c>
      <c r="CZ1" s="16" t="s">
        <v>1446</v>
      </c>
      <c r="DA1" s="16" t="s">
        <v>1446</v>
      </c>
      <c r="DB1" s="16" t="s">
        <v>1446</v>
      </c>
      <c r="DC1" s="16" t="s">
        <v>1446</v>
      </c>
      <c r="DD1" s="16" t="s">
        <v>1446</v>
      </c>
      <c r="DE1" s="16" t="s">
        <v>1446</v>
      </c>
      <c r="DF1" s="16" t="s">
        <v>1446</v>
      </c>
      <c r="DG1" s="16" t="s">
        <v>1446</v>
      </c>
      <c r="DH1" s="16" t="s">
        <v>1446</v>
      </c>
      <c r="DI1" s="16" t="s">
        <v>1446</v>
      </c>
      <c r="DJ1" s="16" t="s">
        <v>1446</v>
      </c>
      <c r="DK1" s="16" t="s">
        <v>1446</v>
      </c>
      <c r="DL1" s="16" t="s">
        <v>1446</v>
      </c>
      <c r="DM1" s="16" t="s">
        <v>1446</v>
      </c>
      <c r="DN1" s="16" t="s">
        <v>1446</v>
      </c>
      <c r="DO1" s="16" t="s">
        <v>1446</v>
      </c>
      <c r="DP1" s="16" t="s">
        <v>1446</v>
      </c>
      <c r="DQ1" s="16" t="s">
        <v>1446</v>
      </c>
      <c r="DR1" s="16" t="s">
        <v>1446</v>
      </c>
      <c r="DS1" s="16" t="s">
        <v>1446</v>
      </c>
      <c r="DT1" s="16" t="s">
        <v>1446</v>
      </c>
      <c r="DU1" t="s">
        <v>1446</v>
      </c>
      <c r="DV1" t="s">
        <v>1446</v>
      </c>
      <c r="DW1" t="s">
        <v>1446</v>
      </c>
      <c r="DX1" t="s">
        <v>1446</v>
      </c>
      <c r="DY1" t="s">
        <v>1446</v>
      </c>
      <c r="DZ1" t="s">
        <v>1446</v>
      </c>
      <c r="EA1" t="s">
        <v>1446</v>
      </c>
      <c r="EB1" t="s">
        <v>1446</v>
      </c>
      <c r="EC1" t="s">
        <v>1446</v>
      </c>
      <c r="ED1" t="s">
        <v>1446</v>
      </c>
      <c r="EE1" t="s">
        <v>1446</v>
      </c>
      <c r="EF1" t="s">
        <v>1446</v>
      </c>
      <c r="EG1" t="s">
        <v>1446</v>
      </c>
      <c r="EH1" t="s">
        <v>1446</v>
      </c>
      <c r="EI1" t="s">
        <v>1446</v>
      </c>
      <c r="EJ1" t="s">
        <v>1446</v>
      </c>
      <c r="EK1" t="s">
        <v>1446</v>
      </c>
      <c r="EL1" t="s">
        <v>1446</v>
      </c>
      <c r="EM1" t="s">
        <v>1446</v>
      </c>
      <c r="EN1" t="s">
        <v>1446</v>
      </c>
      <c r="EO1" t="s">
        <v>1446</v>
      </c>
      <c r="EP1" t="s">
        <v>1446</v>
      </c>
      <c r="EQ1" t="s">
        <v>1446</v>
      </c>
      <c r="ER1" t="s">
        <v>1446</v>
      </c>
      <c r="ES1" t="s">
        <v>1446</v>
      </c>
      <c r="ET1" t="s">
        <v>1446</v>
      </c>
      <c r="EU1" t="s">
        <v>1446</v>
      </c>
      <c r="EV1" t="s">
        <v>1446</v>
      </c>
      <c r="EW1" s="193" t="s">
        <v>1267</v>
      </c>
      <c r="EX1" s="192" t="s">
        <v>1268</v>
      </c>
      <c r="EY1" s="193" t="s">
        <v>1269</v>
      </c>
      <c r="FA1" t="s">
        <v>1397</v>
      </c>
      <c r="FE1" t="s">
        <v>1446</v>
      </c>
      <c r="FF1" s="266" t="s">
        <v>1446</v>
      </c>
    </row>
    <row r="2" spans="2:162" ht="24" customHeight="1" x14ac:dyDescent="0.4">
      <c r="D2" s="231" t="s">
        <v>8</v>
      </c>
      <c r="F2" s="17"/>
      <c r="G2" s="17"/>
      <c r="BN2" s="21" t="s">
        <v>1101</v>
      </c>
      <c r="BO2" s="22"/>
      <c r="DV2" s="160" t="s">
        <v>1212</v>
      </c>
      <c r="DW2" s="60" t="s">
        <v>1127</v>
      </c>
      <c r="DX2" s="60" t="s">
        <v>1051</v>
      </c>
      <c r="DY2" s="60" t="s">
        <v>1052</v>
      </c>
      <c r="DZ2" s="60" t="s">
        <v>1093</v>
      </c>
      <c r="EA2" s="60" t="s">
        <v>1093</v>
      </c>
      <c r="EB2" s="60" t="s">
        <v>1073</v>
      </c>
      <c r="EC2" s="60" t="s">
        <v>1074</v>
      </c>
      <c r="ED2" s="60" t="s">
        <v>1093</v>
      </c>
      <c r="EE2" s="60" t="s">
        <v>1073</v>
      </c>
      <c r="EF2" s="60" t="s">
        <v>1077</v>
      </c>
      <c r="EG2" s="60" t="s">
        <v>1086</v>
      </c>
      <c r="EH2" s="60" t="s">
        <v>1059</v>
      </c>
      <c r="EI2" s="60" t="s">
        <v>1060</v>
      </c>
      <c r="EJ2" s="60" t="s">
        <v>1173</v>
      </c>
      <c r="EK2" s="60" t="s">
        <v>1177</v>
      </c>
      <c r="EL2" s="60" t="s">
        <v>1078</v>
      </c>
      <c r="EM2" s="60" t="s">
        <v>1112</v>
      </c>
      <c r="EN2" s="60" t="s">
        <v>1137</v>
      </c>
      <c r="EO2" s="232" t="s">
        <v>1280</v>
      </c>
      <c r="EP2" s="232" t="s">
        <v>1280</v>
      </c>
      <c r="EQ2" s="60" t="s">
        <v>20</v>
      </c>
      <c r="ER2" s="60" t="s">
        <v>1254</v>
      </c>
      <c r="ES2" s="60" t="s">
        <v>1266</v>
      </c>
      <c r="ET2" s="60" t="s">
        <v>1270</v>
      </c>
      <c r="EU2" s="60" t="s">
        <v>1271</v>
      </c>
      <c r="EV2" s="60" t="s">
        <v>1272</v>
      </c>
      <c r="EW2" s="3" t="s">
        <v>1061</v>
      </c>
      <c r="EX2" s="3">
        <v>129.06</v>
      </c>
      <c r="EY2" s="233">
        <v>0.12906000000000001</v>
      </c>
      <c r="FA2" s="192" t="s">
        <v>1362</v>
      </c>
      <c r="FB2" s="193" t="s">
        <v>1364</v>
      </c>
      <c r="FC2" s="192" t="s">
        <v>1396</v>
      </c>
    </row>
    <row r="3" spans="2:162" x14ac:dyDescent="0.25">
      <c r="F3" s="17"/>
      <c r="G3" s="17"/>
      <c r="BN3" s="16" t="s">
        <v>1117</v>
      </c>
      <c r="BO3" s="22">
        <f>IF(D196="",0,D196)</f>
        <v>21</v>
      </c>
      <c r="BP3" s="16" t="s">
        <v>1116</v>
      </c>
      <c r="DV3" t="s">
        <v>1213</v>
      </c>
      <c r="DW3" t="s">
        <v>1141</v>
      </c>
      <c r="DX3" s="3">
        <v>0</v>
      </c>
      <c r="DY3" t="s">
        <v>14</v>
      </c>
      <c r="DZ3" t="s">
        <v>14</v>
      </c>
      <c r="EA3" t="s">
        <v>1085</v>
      </c>
      <c r="EB3" s="20">
        <v>1.8</v>
      </c>
      <c r="EC3" s="20" t="s">
        <v>26</v>
      </c>
      <c r="ED3" t="s">
        <v>1085</v>
      </c>
      <c r="EE3" s="20">
        <v>1.8</v>
      </c>
      <c r="EF3" t="s">
        <v>17</v>
      </c>
      <c r="EG3" s="20" t="s">
        <v>1087</v>
      </c>
      <c r="EH3" s="3">
        <v>2015</v>
      </c>
      <c r="EI3" s="3" t="s">
        <v>1061</v>
      </c>
      <c r="EJ3" s="3">
        <v>1</v>
      </c>
      <c r="EK3" s="3">
        <v>744</v>
      </c>
      <c r="EL3" s="3" t="s">
        <v>1091</v>
      </c>
      <c r="EM3" s="3" t="s">
        <v>1217</v>
      </c>
      <c r="EN3" s="3" t="s">
        <v>1075</v>
      </c>
      <c r="EO3" s="36" t="s">
        <v>1279</v>
      </c>
      <c r="EP3" s="36" t="s">
        <v>1282</v>
      </c>
      <c r="EQ3" s="3" t="s">
        <v>1251</v>
      </c>
      <c r="ER3" t="s">
        <v>1255</v>
      </c>
      <c r="ES3" s="3" t="s">
        <v>1251</v>
      </c>
      <c r="ET3" t="s">
        <v>1264</v>
      </c>
      <c r="EU3" t="s">
        <v>1264</v>
      </c>
      <c r="EV3" t="s">
        <v>1264</v>
      </c>
      <c r="EW3" s="3" t="s">
        <v>1062</v>
      </c>
      <c r="EX3" s="3">
        <v>114.74</v>
      </c>
      <c r="EY3" s="233">
        <f t="shared" ref="EY3:EY13" si="0">EX3/1000</f>
        <v>0.11473999999999999</v>
      </c>
      <c r="FA3" t="str">
        <f>'Indata byggnad och BBR krav'!Y8</f>
        <v>El</v>
      </c>
      <c r="FB3" t="str">
        <f>'Indata byggnad och BBR krav'!Z8</f>
        <v>Generisk data</v>
      </c>
      <c r="FC3">
        <f>'Indata byggnad och BBR krav'!AA8</f>
        <v>2.1999999999999999E-2</v>
      </c>
    </row>
    <row r="4" spans="2:162" ht="16.5" customHeight="1" x14ac:dyDescent="0.25">
      <c r="F4" s="17"/>
      <c r="Y4" s="110" t="s">
        <v>1204</v>
      </c>
      <c r="Z4" s="265" t="s">
        <v>1206</v>
      </c>
      <c r="BN4" s="16" t="s">
        <v>1118</v>
      </c>
      <c r="BO4" s="22">
        <f>IF(D198="",0,D198)</f>
        <v>21</v>
      </c>
      <c r="BP4" s="16" t="s">
        <v>1121</v>
      </c>
      <c r="CB4" s="21"/>
      <c r="CF4" s="24"/>
      <c r="DV4" t="s">
        <v>1214</v>
      </c>
      <c r="DW4" t="s">
        <v>1142</v>
      </c>
      <c r="DX4" s="3">
        <v>1</v>
      </c>
      <c r="DY4" t="s">
        <v>15</v>
      </c>
      <c r="DZ4" t="s">
        <v>1085</v>
      </c>
      <c r="EA4" t="s">
        <v>14</v>
      </c>
      <c r="EB4" s="20">
        <v>0.7</v>
      </c>
      <c r="EC4" s="20" t="s">
        <v>25</v>
      </c>
      <c r="ED4" t="s">
        <v>25</v>
      </c>
      <c r="EE4" s="20">
        <v>0.6</v>
      </c>
      <c r="EF4" t="s">
        <v>16</v>
      </c>
      <c r="EG4" s="20" t="s">
        <v>1088</v>
      </c>
      <c r="EH4" s="3">
        <v>2016</v>
      </c>
      <c r="EI4" s="3" t="s">
        <v>1062</v>
      </c>
      <c r="EJ4" s="3">
        <v>2</v>
      </c>
      <c r="EK4" s="3">
        <v>672</v>
      </c>
      <c r="EL4" s="3" t="s">
        <v>1080</v>
      </c>
      <c r="EM4" s="3" t="s">
        <v>1218</v>
      </c>
      <c r="EN4" s="3" t="s">
        <v>1046</v>
      </c>
      <c r="EO4" s="36" t="s">
        <v>1281</v>
      </c>
      <c r="EP4" s="36" t="s">
        <v>1157</v>
      </c>
      <c r="EQ4" s="3" t="s">
        <v>1222</v>
      </c>
      <c r="ER4" t="s">
        <v>1256</v>
      </c>
      <c r="ES4" s="3" t="s">
        <v>1222</v>
      </c>
      <c r="ET4" t="s">
        <v>1273</v>
      </c>
      <c r="EU4" t="s">
        <v>1273</v>
      </c>
      <c r="EV4" t="s">
        <v>1273</v>
      </c>
      <c r="EW4" s="3" t="s">
        <v>1063</v>
      </c>
      <c r="EX4" s="3">
        <v>115.59</v>
      </c>
      <c r="EY4" s="233">
        <f t="shared" si="0"/>
        <v>0.11559</v>
      </c>
      <c r="FA4" t="str">
        <f>'Indata byggnad och BBR krav'!Y9</f>
        <v>Fjärrvärme</v>
      </c>
      <c r="FB4" t="str">
        <f>'Indata byggnad och BBR krav'!Z9</f>
        <v>Generisk data</v>
      </c>
      <c r="FC4">
        <f>'Indata byggnad och BBR krav'!AA9</f>
        <v>0.06</v>
      </c>
    </row>
    <row r="5" spans="2:162" ht="16.5" customHeight="1" x14ac:dyDescent="0.25">
      <c r="F5" s="17"/>
      <c r="Z5" s="85" t="s">
        <v>1206</v>
      </c>
      <c r="BN5" s="16" t="s">
        <v>1122</v>
      </c>
      <c r="BO5" s="22">
        <f>'Indata byggnad och BBR krav'!C17</f>
        <v>50</v>
      </c>
      <c r="BP5" s="16" t="s">
        <v>1129</v>
      </c>
      <c r="DC5" s="25"/>
      <c r="DD5" s="25"/>
      <c r="DE5" s="25"/>
      <c r="DF5" s="25"/>
      <c r="DL5" s="25"/>
      <c r="DM5" s="25"/>
      <c r="DN5" s="25"/>
      <c r="DO5" s="25"/>
      <c r="DX5" s="3">
        <v>2</v>
      </c>
      <c r="DY5" t="s">
        <v>1053</v>
      </c>
      <c r="DZ5" t="s">
        <v>1085</v>
      </c>
      <c r="EA5" t="s">
        <v>1095</v>
      </c>
      <c r="EB5" s="20">
        <v>0.6</v>
      </c>
      <c r="EC5" s="20"/>
      <c r="ED5" s="20"/>
      <c r="EE5" s="20"/>
      <c r="EF5" t="s">
        <v>1076</v>
      </c>
      <c r="EG5" t="s">
        <v>1089</v>
      </c>
      <c r="EH5" s="3">
        <v>2017</v>
      </c>
      <c r="EI5" s="3" t="s">
        <v>1063</v>
      </c>
      <c r="EJ5" s="3">
        <v>3</v>
      </c>
      <c r="EK5" s="3">
        <v>744</v>
      </c>
      <c r="ER5" t="s">
        <v>1253</v>
      </c>
      <c r="ET5" t="s">
        <v>1253</v>
      </c>
      <c r="EU5" t="s">
        <v>1253</v>
      </c>
      <c r="EV5" t="s">
        <v>1253</v>
      </c>
      <c r="EW5" s="3" t="s">
        <v>1064</v>
      </c>
      <c r="EX5" s="3">
        <v>98.08</v>
      </c>
      <c r="EY5" s="233">
        <f t="shared" si="0"/>
        <v>9.8080000000000001E-2</v>
      </c>
      <c r="FA5" t="str">
        <f>'Indata byggnad och BBR krav'!Y10</f>
        <v>Biobränsle</v>
      </c>
      <c r="FB5" t="str">
        <f>'Indata byggnad och BBR krav'!Z10</f>
        <v>Generisk data</v>
      </c>
      <c r="FC5">
        <f>'Indata byggnad och BBR krav'!AA10</f>
        <v>2.1999999999999999E-2</v>
      </c>
    </row>
    <row r="6" spans="2:162" ht="16.5" customHeight="1" x14ac:dyDescent="0.25">
      <c r="F6" s="17"/>
      <c r="Z6" s="85" t="s">
        <v>1205</v>
      </c>
      <c r="AZ6" s="21"/>
      <c r="BN6" s="25" t="s">
        <v>1123</v>
      </c>
      <c r="BO6" s="22">
        <f>'Indata byggnad och BBR krav'!C18</f>
        <v>50</v>
      </c>
      <c r="BP6" s="16" t="s">
        <v>1129</v>
      </c>
      <c r="CC6" s="24"/>
      <c r="DD6" s="21"/>
      <c r="DM6" s="21"/>
      <c r="DX6" s="3">
        <v>3</v>
      </c>
      <c r="DY6" t="s">
        <v>1054</v>
      </c>
      <c r="DZ6" t="s">
        <v>1095</v>
      </c>
      <c r="EA6" t="s">
        <v>1096</v>
      </c>
      <c r="EB6" s="20">
        <v>1.8</v>
      </c>
      <c r="EC6" s="20"/>
      <c r="ED6" s="20"/>
      <c r="EE6" s="20"/>
      <c r="EF6" t="s">
        <v>1083</v>
      </c>
      <c r="EG6" t="s">
        <v>1090</v>
      </c>
      <c r="EH6" s="3">
        <v>2018</v>
      </c>
      <c r="EI6" s="3" t="s">
        <v>1064</v>
      </c>
      <c r="EJ6" s="3">
        <v>4</v>
      </c>
      <c r="EK6" s="3">
        <v>720</v>
      </c>
      <c r="EW6" s="3" t="s">
        <v>1065</v>
      </c>
      <c r="EX6" s="3">
        <v>68.42</v>
      </c>
      <c r="EY6" s="233">
        <f t="shared" si="0"/>
        <v>6.8420000000000009E-2</v>
      </c>
      <c r="FA6" t="str">
        <f>'Indata byggnad och BBR krav'!Y11</f>
        <v>Gas (Naturgas)</v>
      </c>
      <c r="FB6" t="str">
        <f>'Indata byggnad och BBR krav'!Z11</f>
        <v>Generisk data</v>
      </c>
      <c r="FC6">
        <f>'Indata byggnad och BBR krav'!AA11</f>
        <v>0.26369999999999999</v>
      </c>
    </row>
    <row r="7" spans="2:162" ht="28.5" customHeight="1" x14ac:dyDescent="0.25">
      <c r="F7" s="17"/>
      <c r="K7" s="3"/>
      <c r="L7" s="3"/>
      <c r="Y7" s="86"/>
      <c r="AZ7" s="21"/>
      <c r="BN7" s="24" t="s">
        <v>1246</v>
      </c>
      <c r="BO7" s="22">
        <f>(BO5*BO3+BO6*BO4)/100</f>
        <v>21</v>
      </c>
      <c r="BP7" s="16" t="s">
        <v>1124</v>
      </c>
      <c r="CC7" s="24"/>
      <c r="CD7" s="22"/>
      <c r="CI7" s="24"/>
      <c r="DD7" s="26"/>
      <c r="DM7" s="26"/>
      <c r="DX7" s="3">
        <v>4</v>
      </c>
      <c r="DY7" t="s">
        <v>1056</v>
      </c>
      <c r="DZ7" t="s">
        <v>1095</v>
      </c>
      <c r="EA7" t="s">
        <v>1097</v>
      </c>
      <c r="EB7" s="20">
        <v>1.8</v>
      </c>
      <c r="EC7" s="20"/>
      <c r="ED7" s="20"/>
      <c r="EE7" s="20"/>
      <c r="EH7" s="3">
        <v>2019</v>
      </c>
      <c r="EI7" s="3" t="s">
        <v>1065</v>
      </c>
      <c r="EJ7" s="3">
        <v>5</v>
      </c>
      <c r="EK7" s="3">
        <v>744</v>
      </c>
      <c r="EW7" s="3" t="s">
        <v>1066</v>
      </c>
      <c r="EX7" s="3">
        <v>41.13</v>
      </c>
      <c r="EY7" s="233">
        <f t="shared" si="0"/>
        <v>4.113E-2</v>
      </c>
      <c r="FA7" t="str">
        <f>'Indata byggnad och BBR krav'!Y12</f>
        <v>Olja</v>
      </c>
      <c r="FB7" t="str">
        <f>'Indata byggnad och BBR krav'!Z12</f>
        <v>Generisk data</v>
      </c>
      <c r="FC7">
        <f>'Indata byggnad och BBR krav'!AA12</f>
        <v>0.30130000000000001</v>
      </c>
    </row>
    <row r="8" spans="2:162" ht="16.5" customHeight="1" x14ac:dyDescent="0.25">
      <c r="F8" s="23"/>
      <c r="I8" s="3"/>
      <c r="J8" s="3"/>
      <c r="K8" s="3"/>
      <c r="L8" s="3"/>
      <c r="X8" s="110"/>
      <c r="Y8" s="86"/>
      <c r="AZ8" s="21"/>
      <c r="BN8" s="24" t="s">
        <v>1125</v>
      </c>
      <c r="BO8" s="184">
        <f>IF(AND($D$177="Separat mätdata finns",$D$194&gt;10),$D$194,$BO$7)</f>
        <v>21</v>
      </c>
      <c r="BP8" s="16" t="s">
        <v>1124</v>
      </c>
      <c r="CC8" s="24"/>
      <c r="CD8" s="22"/>
      <c r="DD8" s="26"/>
      <c r="DM8" s="26"/>
      <c r="DX8" s="3">
        <v>5</v>
      </c>
      <c r="DY8" t="s">
        <v>1057</v>
      </c>
      <c r="DZ8" t="s">
        <v>1097</v>
      </c>
      <c r="EB8" s="20"/>
      <c r="EC8" s="20"/>
      <c r="ED8" s="20"/>
      <c r="EE8" s="20"/>
      <c r="EH8" s="3">
        <v>2020</v>
      </c>
      <c r="EI8" s="3" t="s">
        <v>1066</v>
      </c>
      <c r="EJ8" s="3">
        <v>6</v>
      </c>
      <c r="EK8" s="3">
        <v>720</v>
      </c>
      <c r="EW8" s="3" t="s">
        <v>1067</v>
      </c>
      <c r="EX8" s="3">
        <v>30.96</v>
      </c>
      <c r="EY8" s="233">
        <f t="shared" si="0"/>
        <v>3.0960000000000001E-2</v>
      </c>
      <c r="FA8" t="str">
        <f>'Indata byggnad och BBR krav'!Y13</f>
        <v>Fjärrkyla</v>
      </c>
      <c r="FB8" t="str">
        <f>'Indata byggnad och BBR krav'!Z13</f>
        <v>Generisk data</v>
      </c>
      <c r="FC8">
        <f>'Indata byggnad och BBR krav'!AA13</f>
        <v>0.06</v>
      </c>
    </row>
    <row r="9" spans="2:162" ht="16.5" customHeight="1" x14ac:dyDescent="0.3">
      <c r="C9" s="15" t="s">
        <v>1413</v>
      </c>
      <c r="F9" s="23"/>
      <c r="I9" s="3"/>
      <c r="J9" s="3"/>
      <c r="K9" s="3"/>
      <c r="L9" s="3"/>
      <c r="Y9" s="161"/>
      <c r="AZ9" s="19" t="s">
        <v>1104</v>
      </c>
      <c r="BH9" s="19"/>
      <c r="BN9" s="24" t="s">
        <v>1126</v>
      </c>
      <c r="BO9" s="27">
        <f>BO8-BO7</f>
        <v>0</v>
      </c>
      <c r="BP9" s="16" t="s">
        <v>1124</v>
      </c>
      <c r="CB9" s="21" t="s">
        <v>1168</v>
      </c>
      <c r="CC9" s="24"/>
      <c r="CD9" s="22"/>
      <c r="CJ9" s="21" t="s">
        <v>1109</v>
      </c>
      <c r="DY9" t="s">
        <v>1055</v>
      </c>
      <c r="DZ9" t="s">
        <v>1096</v>
      </c>
      <c r="EC9" s="20"/>
      <c r="ED9" s="20"/>
      <c r="EE9" s="20"/>
      <c r="EH9" s="3">
        <v>2021</v>
      </c>
      <c r="EI9" s="3" t="s">
        <v>1067</v>
      </c>
      <c r="EJ9" s="3">
        <v>7</v>
      </c>
      <c r="EK9" s="3">
        <v>744</v>
      </c>
      <c r="EW9" s="3" t="s">
        <v>1068</v>
      </c>
      <c r="EX9" s="3">
        <v>33.47</v>
      </c>
      <c r="EY9" s="233">
        <f t="shared" si="0"/>
        <v>3.347E-2</v>
      </c>
      <c r="FA9">
        <f>'Indata byggnad och BBR krav'!Y14</f>
        <v>0</v>
      </c>
      <c r="FB9">
        <f>'Indata byggnad och BBR krav'!Z14</f>
        <v>0</v>
      </c>
      <c r="FC9">
        <f>'Indata byggnad och BBR krav'!AA14</f>
        <v>0</v>
      </c>
    </row>
    <row r="10" spans="2:162" ht="16.5" customHeight="1" x14ac:dyDescent="0.3">
      <c r="Y10" s="161"/>
      <c r="AZ10" s="21"/>
      <c r="BH10" s="19"/>
      <c r="BN10" s="24" t="s">
        <v>1178</v>
      </c>
      <c r="BO10" s="27">
        <f>IF(BO9&gt;0,INT(BO9+0.3),IF(BO9&lt;0,INT(BO9),0))</f>
        <v>0</v>
      </c>
      <c r="BP10" s="16" t="s">
        <v>1124</v>
      </c>
      <c r="DY10" t="s">
        <v>1058</v>
      </c>
      <c r="DZ10" t="s">
        <v>1095</v>
      </c>
      <c r="EC10" s="20"/>
      <c r="ED10" s="20"/>
      <c r="EE10" s="20"/>
      <c r="EH10" s="317"/>
      <c r="EI10" s="3" t="s">
        <v>1068</v>
      </c>
      <c r="EJ10" s="3">
        <v>8</v>
      </c>
      <c r="EK10" s="3">
        <v>744</v>
      </c>
      <c r="EW10" s="3" t="s">
        <v>1069</v>
      </c>
      <c r="EX10" s="3">
        <v>54.63</v>
      </c>
      <c r="EY10" s="233">
        <f t="shared" si="0"/>
        <v>5.4630000000000005E-2</v>
      </c>
    </row>
    <row r="11" spans="2:162" ht="16.5" customHeight="1" x14ac:dyDescent="0.25">
      <c r="B11" s="254">
        <v>1</v>
      </c>
      <c r="C11" s="255" t="s">
        <v>1258</v>
      </c>
      <c r="D11" s="256"/>
      <c r="E11" s="257"/>
      <c r="F11" s="256"/>
      <c r="G11" s="256"/>
      <c r="H11" s="256"/>
      <c r="I11" s="256"/>
      <c r="J11" s="256"/>
      <c r="K11" s="256"/>
      <c r="L11" s="256"/>
      <c r="M11" s="257"/>
      <c r="N11" s="257"/>
      <c r="O11" s="257"/>
      <c r="P11" s="257"/>
      <c r="Q11" s="257"/>
      <c r="R11" s="257"/>
      <c r="S11" s="257"/>
      <c r="T11" s="257"/>
      <c r="U11" s="257"/>
      <c r="V11" s="257"/>
      <c r="W11" s="258"/>
      <c r="AZ11" s="21"/>
      <c r="BH11" s="21"/>
      <c r="BN11" s="16" t="s">
        <v>1119</v>
      </c>
      <c r="BO11" s="123">
        <f ca="1">IF(BO10&gt;1,OFFSET(Sänkningsvärde!$DI$359,BO10,0),IF(BO10&lt;-1,OFFSET(Sänkningsvärde!$DI$359,BO10-1,0),0))</f>
        <v>0</v>
      </c>
      <c r="BP11" s="200" t="s">
        <v>1247</v>
      </c>
      <c r="CC11" s="24" t="s">
        <v>1203</v>
      </c>
      <c r="CD11" s="29">
        <f>BD171</f>
        <v>0</v>
      </c>
      <c r="CJ11" s="24" t="s">
        <v>1303</v>
      </c>
      <c r="CK11" s="30">
        <f>$AH$142</f>
        <v>0</v>
      </c>
      <c r="DD11" s="185" t="s">
        <v>1468</v>
      </c>
      <c r="DE11" s="28"/>
      <c r="DM11" s="185" t="s">
        <v>1470</v>
      </c>
      <c r="DN11" s="28"/>
      <c r="EI11" s="3" t="s">
        <v>1069</v>
      </c>
      <c r="EJ11" s="3">
        <v>9</v>
      </c>
      <c r="EK11" s="3">
        <v>720</v>
      </c>
      <c r="EW11" s="3" t="s">
        <v>1070</v>
      </c>
      <c r="EX11" s="3">
        <v>90.89</v>
      </c>
      <c r="EY11" s="233">
        <f t="shared" si="0"/>
        <v>9.0889999999999999E-2</v>
      </c>
    </row>
    <row r="12" spans="2:162" ht="16.5" customHeight="1" x14ac:dyDescent="0.25">
      <c r="Y12" s="86"/>
      <c r="AZ12" s="21"/>
      <c r="BH12" s="21"/>
      <c r="BN12" s="16" t="s">
        <v>1120</v>
      </c>
      <c r="BO12" s="123">
        <f ca="1">1-BO11</f>
        <v>1</v>
      </c>
      <c r="BP12" s="119"/>
      <c r="CJ12" s="26"/>
      <c r="CM12" s="22"/>
      <c r="CU12" s="21" t="s">
        <v>1102</v>
      </c>
      <c r="DD12" s="21" t="s">
        <v>1110</v>
      </c>
      <c r="DM12" s="21" t="s">
        <v>1110</v>
      </c>
      <c r="EI12" s="3" t="s">
        <v>1070</v>
      </c>
      <c r="EJ12" s="3">
        <v>10</v>
      </c>
      <c r="EK12" s="3">
        <v>744</v>
      </c>
      <c r="EW12" s="3" t="s">
        <v>1071</v>
      </c>
      <c r="EX12" s="3">
        <v>106.04</v>
      </c>
      <c r="EY12" s="233">
        <f t="shared" si="0"/>
        <v>0.10604000000000001</v>
      </c>
    </row>
    <row r="13" spans="2:162" ht="16.5" customHeight="1" x14ac:dyDescent="0.3">
      <c r="F13" s="350" t="s">
        <v>1138</v>
      </c>
      <c r="G13" s="350"/>
      <c r="I13" s="60" t="s">
        <v>1047</v>
      </c>
      <c r="L13" s="60" t="s">
        <v>1048</v>
      </c>
      <c r="O13" s="60" t="s">
        <v>1049</v>
      </c>
      <c r="Y13" s="18" t="s">
        <v>1103</v>
      </c>
      <c r="AZ13" s="21"/>
      <c r="BH13" s="16" t="s">
        <v>1170</v>
      </c>
      <c r="BS13" s="22"/>
      <c r="BY13" s="22"/>
      <c r="BZ13" s="22"/>
      <c r="CA13" s="24" t="s">
        <v>1093</v>
      </c>
      <c r="CB13" s="32" t="s">
        <v>14</v>
      </c>
      <c r="CC13" s="32" t="s">
        <v>1085</v>
      </c>
      <c r="CD13" s="32" t="s">
        <v>1100</v>
      </c>
      <c r="CE13" s="32" t="s">
        <v>1096</v>
      </c>
      <c r="CF13" s="32" t="s">
        <v>1097</v>
      </c>
      <c r="CI13" s="24" t="s">
        <v>1093</v>
      </c>
      <c r="CJ13" s="32" t="s">
        <v>14</v>
      </c>
      <c r="CK13" s="32" t="s">
        <v>1085</v>
      </c>
      <c r="CL13" s="32" t="s">
        <v>1100</v>
      </c>
      <c r="CM13" s="32" t="s">
        <v>1096</v>
      </c>
      <c r="CN13" s="32" t="s">
        <v>1097</v>
      </c>
      <c r="CP13" s="22"/>
      <c r="CQ13" s="22"/>
      <c r="CR13" s="22"/>
      <c r="CS13" s="22"/>
      <c r="CU13" s="26"/>
      <c r="CX13" s="22"/>
      <c r="DB13" s="22"/>
      <c r="DD13" s="26"/>
      <c r="DG13" s="22"/>
      <c r="DM13" s="26"/>
      <c r="DP13" s="22"/>
      <c r="EI13" s="3" t="s">
        <v>1071</v>
      </c>
      <c r="EJ13" s="3">
        <v>11</v>
      </c>
      <c r="EK13" s="3">
        <v>720</v>
      </c>
      <c r="EW13" s="3" t="s">
        <v>1072</v>
      </c>
      <c r="EX13" s="192">
        <v>117.01</v>
      </c>
      <c r="EY13" s="234">
        <f t="shared" si="0"/>
        <v>0.11701</v>
      </c>
    </row>
    <row r="14" spans="2:162" ht="16.5" customHeight="1" x14ac:dyDescent="0.25">
      <c r="C14" s="33" t="s">
        <v>1050</v>
      </c>
      <c r="D14" s="246">
        <v>1</v>
      </c>
      <c r="F14" s="34" t="s">
        <v>9</v>
      </c>
      <c r="G14" s="242">
        <v>2021</v>
      </c>
      <c r="H14" s="3"/>
      <c r="I14" s="33" t="s">
        <v>1208</v>
      </c>
      <c r="J14" s="242" t="s">
        <v>14</v>
      </c>
      <c r="K14" s="3"/>
      <c r="L14" s="33" t="s">
        <v>1208</v>
      </c>
      <c r="M14" s="242" t="s">
        <v>15</v>
      </c>
      <c r="N14" s="3"/>
      <c r="O14" s="33" t="s">
        <v>1208</v>
      </c>
      <c r="P14" s="242" t="s">
        <v>1053</v>
      </c>
      <c r="Q14" s="3"/>
      <c r="R14" s="3"/>
      <c r="S14" s="3"/>
      <c r="T14" s="3"/>
      <c r="U14" s="3"/>
      <c r="V14" s="3"/>
      <c r="X14" s="110"/>
      <c r="Y14" s="110"/>
      <c r="Z14" s="110"/>
      <c r="AA14" s="110"/>
      <c r="AB14" s="110"/>
      <c r="AC14" s="110"/>
      <c r="AY14" s="24"/>
      <c r="AZ14" s="21"/>
      <c r="BG14" s="21"/>
      <c r="BH14" s="22" t="s">
        <v>1045</v>
      </c>
      <c r="BI14" s="22" t="s">
        <v>1173</v>
      </c>
      <c r="BL14" s="22"/>
      <c r="BM14" s="24" t="s">
        <v>1093</v>
      </c>
      <c r="BN14" s="32" t="s">
        <v>14</v>
      </c>
      <c r="BO14" s="32" t="s">
        <v>1085</v>
      </c>
      <c r="BP14" s="32" t="s">
        <v>1100</v>
      </c>
      <c r="BQ14" s="32" t="s">
        <v>1096</v>
      </c>
      <c r="BR14" s="32" t="s">
        <v>1097</v>
      </c>
      <c r="BS14" s="22"/>
      <c r="BT14" s="25" t="s">
        <v>1181</v>
      </c>
      <c r="BU14" s="22"/>
      <c r="BV14" s="22"/>
      <c r="BW14" s="22"/>
      <c r="BX14" s="22"/>
      <c r="BY14" s="22"/>
      <c r="BZ14" s="22"/>
      <c r="CA14" s="16" t="s">
        <v>13</v>
      </c>
      <c r="CB14" s="32">
        <f>IF($Y$31&gt;0,$Y$32/$Y$31,0)</f>
        <v>0</v>
      </c>
      <c r="CC14" s="30">
        <f>IF(Z31&gt;0,Z32/Z31,0)</f>
        <v>0</v>
      </c>
      <c r="CD14" s="32">
        <f>IF(AA31&gt;0,AA32/AA31,0)</f>
        <v>0</v>
      </c>
      <c r="CE14" s="32">
        <f>IF(AB31&gt;0,AB32/AB31,0)</f>
        <v>0</v>
      </c>
      <c r="CF14" s="32">
        <f>IF(AC31&gt;0,AC32/AC31,0)</f>
        <v>0</v>
      </c>
      <c r="CI14" s="24" t="s">
        <v>13</v>
      </c>
      <c r="CJ14" s="32">
        <f>IF(Y31&gt;0,Y32/Y31,0)</f>
        <v>0</v>
      </c>
      <c r="CK14" s="30">
        <f>IF(Z31&gt;0,Z32/Z31,0)</f>
        <v>0</v>
      </c>
      <c r="CL14" s="32">
        <f>IF(AA31&gt;0,AA32/AA31,0)</f>
        <v>0</v>
      </c>
      <c r="CM14" s="32">
        <f>IF(AB31&gt;0,AB32/AB31,0)</f>
        <v>0</v>
      </c>
      <c r="CN14" s="32">
        <f>IF(AC31&gt;0,AC32/AC31,0)</f>
        <v>0</v>
      </c>
      <c r="CP14" s="22"/>
      <c r="CQ14" s="22"/>
      <c r="CR14" s="22"/>
      <c r="CS14" s="22"/>
      <c r="CT14" s="24" t="s">
        <v>1093</v>
      </c>
      <c r="CU14" s="32" t="s">
        <v>14</v>
      </c>
      <c r="CV14" s="32" t="s">
        <v>1085</v>
      </c>
      <c r="CW14" s="32" t="s">
        <v>1100</v>
      </c>
      <c r="CX14" s="32" t="s">
        <v>1096</v>
      </c>
      <c r="CY14" s="32" t="s">
        <v>1097</v>
      </c>
      <c r="DB14" s="22"/>
      <c r="DC14" s="24" t="s">
        <v>1093</v>
      </c>
      <c r="DD14" s="32" t="s">
        <v>14</v>
      </c>
      <c r="DE14" s="32" t="s">
        <v>1085</v>
      </c>
      <c r="DF14" s="32" t="s">
        <v>1100</v>
      </c>
      <c r="DG14" s="32" t="s">
        <v>1096</v>
      </c>
      <c r="DH14" s="32" t="s">
        <v>1097</v>
      </c>
      <c r="DL14" s="24" t="s">
        <v>1093</v>
      </c>
      <c r="DM14" s="32" t="s">
        <v>14</v>
      </c>
      <c r="DN14" s="32" t="s">
        <v>1085</v>
      </c>
      <c r="DO14" s="32" t="s">
        <v>1100</v>
      </c>
      <c r="DP14" s="32" t="s">
        <v>1096</v>
      </c>
      <c r="DQ14" s="32" t="s">
        <v>1097</v>
      </c>
      <c r="EI14" s="3" t="s">
        <v>1072</v>
      </c>
      <c r="EJ14" s="3">
        <v>12</v>
      </c>
      <c r="EK14" s="3">
        <v>744</v>
      </c>
      <c r="EX14" s="235">
        <f>SUM(EX2:EX13)</f>
        <v>1000.02</v>
      </c>
      <c r="EY14" s="235">
        <f>SUM(EY2:EY13)</f>
        <v>1.0000199999999999</v>
      </c>
    </row>
    <row r="15" spans="2:162" ht="16.5" customHeight="1" x14ac:dyDescent="0.25">
      <c r="C15" s="152" t="s">
        <v>1354</v>
      </c>
      <c r="F15" s="34" t="s">
        <v>19</v>
      </c>
      <c r="G15" s="242" t="s">
        <v>1061</v>
      </c>
      <c r="H15" s="3"/>
      <c r="I15" s="33" t="s">
        <v>13</v>
      </c>
      <c r="J15" s="246">
        <v>0.98</v>
      </c>
      <c r="K15" s="2"/>
      <c r="L15" s="33" t="s">
        <v>13</v>
      </c>
      <c r="M15" s="246">
        <v>2</v>
      </c>
      <c r="N15" s="2"/>
      <c r="O15" s="33" t="s">
        <v>13</v>
      </c>
      <c r="P15" s="246">
        <v>1</v>
      </c>
      <c r="Q15" s="2"/>
      <c r="R15" s="2"/>
      <c r="S15" s="2"/>
      <c r="T15" s="2"/>
      <c r="U15" s="2"/>
      <c r="V15" s="2"/>
      <c r="X15" s="110"/>
      <c r="Y15" s="110"/>
      <c r="Z15" s="110"/>
      <c r="AA15" s="110"/>
      <c r="AB15" s="110"/>
      <c r="AC15" s="110"/>
      <c r="AN15" s="86" t="s">
        <v>1442</v>
      </c>
      <c r="AT15" s="86" t="s">
        <v>1441</v>
      </c>
      <c r="AY15" s="24"/>
      <c r="AZ15" s="21"/>
      <c r="BG15" s="24" t="s">
        <v>1175</v>
      </c>
      <c r="BH15" s="22" t="str">
        <f>D179</f>
        <v>nov</v>
      </c>
      <c r="BI15" s="22">
        <f>MATCH(BH15,$EI$3:$EI$14,0)</f>
        <v>11</v>
      </c>
      <c r="BL15" s="22"/>
      <c r="BM15" s="22"/>
      <c r="BN15" s="22"/>
      <c r="BO15" s="22"/>
      <c r="BP15" s="22"/>
      <c r="BQ15" s="22"/>
      <c r="BR15" s="22"/>
      <c r="BS15" s="22"/>
      <c r="BT15" s="22" t="s">
        <v>14</v>
      </c>
      <c r="BU15" s="22" t="s">
        <v>1085</v>
      </c>
      <c r="BV15" s="22" t="s">
        <v>1100</v>
      </c>
      <c r="BW15" s="22" t="s">
        <v>1096</v>
      </c>
      <c r="BX15" s="22" t="s">
        <v>1097</v>
      </c>
      <c r="BY15" s="22"/>
      <c r="BZ15" s="22"/>
      <c r="CA15" s="24" t="s">
        <v>1304</v>
      </c>
      <c r="CB15" s="30">
        <f ca="1">IF(BN31&gt;0,($CD$11/CB14)/1000*BN32,0)</f>
        <v>0</v>
      </c>
      <c r="CC15" s="30">
        <f ca="1">IF(BO31&gt;0,($CD$11/CC14)/1000*BO32,0)</f>
        <v>0</v>
      </c>
      <c r="CD15" s="30">
        <f ca="1">IF(BP31&gt;0,($CD$11/CD14)/1000*BP32,0)</f>
        <v>0</v>
      </c>
      <c r="CE15" s="30">
        <f ca="1">IF(BQ31&gt;0,($CD$11/CE14)/1000*BQ32,0)</f>
        <v>0</v>
      </c>
      <c r="CF15" s="30">
        <f ca="1">IF(BR31&gt;0,($CD$11/CF14)/1000*BR32,0)</f>
        <v>0</v>
      </c>
      <c r="CI15" s="24" t="s">
        <v>1304</v>
      </c>
      <c r="CJ15" s="30">
        <f ca="1">IF(CB31&gt;0,($CK$11/CJ14)*CB32,0)</f>
        <v>0</v>
      </c>
      <c r="CK15" s="30">
        <f ca="1">IF(CC31&gt;0,($CK$11/CK14)*CC32,0)</f>
        <v>0</v>
      </c>
      <c r="CL15" s="30">
        <f ca="1">IF(CD31&gt;0,($CK$11/CL14)*CD32,0)</f>
        <v>0</v>
      </c>
      <c r="CM15" s="30">
        <f ca="1">IF(CE31&gt;0,($CK$11/CM14)*CE32,0)</f>
        <v>0</v>
      </c>
      <c r="CN15" s="30">
        <f ca="1">IF(CF31&gt;0,($CK$11/CN14)*CF32,0)</f>
        <v>0</v>
      </c>
      <c r="CP15" s="22"/>
      <c r="CQ15" s="22"/>
      <c r="CR15" s="22"/>
      <c r="CS15" s="22"/>
      <c r="DB15" s="22"/>
      <c r="DC15" s="24" t="s">
        <v>1285</v>
      </c>
      <c r="DD15" s="30">
        <v>1</v>
      </c>
      <c r="DE15" s="30">
        <v>1.6</v>
      </c>
      <c r="DF15" s="30">
        <v>1</v>
      </c>
      <c r="DG15" s="30">
        <v>1</v>
      </c>
      <c r="DH15" s="30">
        <v>1</v>
      </c>
      <c r="DL15" s="24" t="s">
        <v>1285</v>
      </c>
      <c r="DM15" s="30">
        <v>1</v>
      </c>
      <c r="DN15" s="30">
        <v>1.6</v>
      </c>
      <c r="DO15" s="30">
        <v>1</v>
      </c>
      <c r="DP15" s="30">
        <v>1</v>
      </c>
      <c r="DQ15" s="30">
        <v>1</v>
      </c>
      <c r="EI15" s="3" t="s">
        <v>1061</v>
      </c>
      <c r="EJ15" s="3">
        <v>13</v>
      </c>
      <c r="EK15" s="3"/>
    </row>
    <row r="16" spans="2:162" ht="16.5" customHeight="1" x14ac:dyDescent="0.25">
      <c r="C16" s="351"/>
      <c r="D16" s="352"/>
      <c r="F16" s="308" t="s">
        <v>1471</v>
      </c>
      <c r="G16" s="60"/>
      <c r="H16" s="3"/>
      <c r="I16" s="34" t="s">
        <v>1136</v>
      </c>
      <c r="J16" s="242" t="s">
        <v>1075</v>
      </c>
      <c r="K16" s="227"/>
      <c r="L16" s="34" t="s">
        <v>1136</v>
      </c>
      <c r="M16" s="242" t="s">
        <v>1046</v>
      </c>
      <c r="O16" s="34" t="s">
        <v>1136</v>
      </c>
      <c r="P16" s="242" t="s">
        <v>1046</v>
      </c>
      <c r="Q16" s="3"/>
      <c r="R16" s="3"/>
      <c r="S16" s="3"/>
      <c r="T16" s="3"/>
      <c r="U16" s="3"/>
      <c r="V16" s="3"/>
      <c r="X16" s="110"/>
      <c r="Y16" s="86" t="s">
        <v>1099</v>
      </c>
      <c r="Z16" s="162"/>
      <c r="AA16" s="162"/>
      <c r="AG16" s="86" t="s">
        <v>1425</v>
      </c>
      <c r="AN16" s="84" t="s">
        <v>1313</v>
      </c>
      <c r="AT16" s="86"/>
      <c r="AW16" s="348" t="s">
        <v>1443</v>
      </c>
      <c r="AY16" s="24"/>
      <c r="AZ16" s="21" t="s">
        <v>1099</v>
      </c>
      <c r="BA16" s="22"/>
      <c r="BB16" s="22"/>
      <c r="BG16" s="24" t="s">
        <v>1176</v>
      </c>
      <c r="BH16" s="22" t="str">
        <f>D180</f>
        <v>feb</v>
      </c>
      <c r="BI16" s="22">
        <f>MATCH(BH16,EI3:EI14,0)</f>
        <v>2</v>
      </c>
      <c r="BM16" s="22"/>
      <c r="BN16" s="22"/>
      <c r="BO16" s="22"/>
      <c r="BP16" s="22"/>
      <c r="BS16" s="22"/>
      <c r="BT16" s="22" t="s">
        <v>1182</v>
      </c>
      <c r="BU16" s="22" t="s">
        <v>1182</v>
      </c>
      <c r="BV16" s="22" t="s">
        <v>1182</v>
      </c>
      <c r="BW16" s="22" t="s">
        <v>1182</v>
      </c>
      <c r="BX16" s="22" t="s">
        <v>1182</v>
      </c>
      <c r="BY16" s="22"/>
      <c r="CP16" s="22"/>
      <c r="CQ16" s="22"/>
      <c r="CR16" s="22"/>
      <c r="CS16" s="22"/>
      <c r="CT16" s="24"/>
      <c r="CU16" s="22"/>
      <c r="CV16" s="22"/>
      <c r="CW16" s="22"/>
      <c r="CX16" s="22"/>
      <c r="DB16" s="22"/>
      <c r="DC16" s="24" t="s">
        <v>1286</v>
      </c>
      <c r="DD16" s="32">
        <v>0.7</v>
      </c>
      <c r="DE16" s="32">
        <v>1.8</v>
      </c>
      <c r="DF16" s="32">
        <v>0.6</v>
      </c>
      <c r="DG16" s="32">
        <v>1.8</v>
      </c>
      <c r="DH16" s="32">
        <v>1.8</v>
      </c>
      <c r="DL16" s="24" t="s">
        <v>1286</v>
      </c>
      <c r="DM16" s="32">
        <v>0.7</v>
      </c>
      <c r="DN16" s="32">
        <v>1.8</v>
      </c>
      <c r="DO16" s="32">
        <v>0.6</v>
      </c>
      <c r="DP16" s="32">
        <v>1.8</v>
      </c>
      <c r="DQ16" s="32">
        <v>1.8</v>
      </c>
      <c r="EI16" s="3" t="s">
        <v>1062</v>
      </c>
      <c r="EJ16" s="3">
        <v>14</v>
      </c>
      <c r="EK16" s="3"/>
    </row>
    <row r="17" spans="1:156" ht="16.5" customHeight="1" x14ac:dyDescent="0.25">
      <c r="B17" s="36"/>
      <c r="C17" s="353"/>
      <c r="D17" s="354"/>
      <c r="E17" s="36"/>
      <c r="F17" s="36"/>
      <c r="G17" s="37"/>
      <c r="H17" s="37"/>
      <c r="I17" s="38"/>
      <c r="J17" s="39" t="s">
        <v>1132</v>
      </c>
      <c r="K17" s="39"/>
      <c r="L17" s="39"/>
      <c r="M17" s="39" t="s">
        <v>1132</v>
      </c>
      <c r="N17" s="39"/>
      <c r="O17" s="39"/>
      <c r="P17" s="39" t="s">
        <v>1132</v>
      </c>
      <c r="Q17" s="40"/>
      <c r="R17" s="40"/>
      <c r="S17" s="40"/>
      <c r="T17" s="40"/>
      <c r="U17" s="40"/>
      <c r="V17" s="40"/>
      <c r="W17" s="36"/>
      <c r="Y17" s="86"/>
      <c r="Z17" s="162"/>
      <c r="AA17" s="162"/>
      <c r="AG17" s="84" t="s">
        <v>1426</v>
      </c>
      <c r="AH17" s="162"/>
      <c r="AI17" s="162"/>
      <c r="AN17" s="86"/>
      <c r="AT17" s="348" t="s">
        <v>1437</v>
      </c>
      <c r="AU17" s="348" t="s">
        <v>1312</v>
      </c>
      <c r="AW17" s="348"/>
      <c r="AZ17" s="22"/>
      <c r="BA17" s="22"/>
      <c r="BB17" s="22"/>
      <c r="BT17" s="27">
        <f ca="1">IF($BM$19=1,BN19,0)+IF($BM$20=1,BN20,0)+IF($BM$21=1,BN21,0)+IF($BM$22=1,BN22,0)+IF($BM$23=1,BN23,0)+IF($BM$24=1,BN24,0)+IF($BM$25=1,BN25,0)+IF($BM$26=1,BN26,0)+IF($BM$27=1,BN27,0)+IF($BM$28=1,BN28,0)+IF($BM$29=1,BN29,0)+IF($BM$30=1,BN30,0)</f>
        <v>0</v>
      </c>
      <c r="BU17" s="27">
        <f ca="1">IF($BM$19=1,BO19,0)+IF($BM$20=1,BO20,0)+IF($BM$21=1,BO21,0)+IF($BM$22=1,BO22,0)+IF($BM$23=1,BO23,0)+IF($BM$24=1,BO24,0)+IF($BM$25=1,BO25,0)+IF($BM$26=1,BO26,0)+IF($BM$27=1,BO27,0)+IF($BM$28=1,BO28,0)+IF($BM$29=1,BO29,0)+IF($BM$30=1,BO30,0)</f>
        <v>0</v>
      </c>
      <c r="BV17" s="27">
        <f ca="1">IF($BM$19=1,BP19,0)+IF($BM$20=1,BP20,0)+IF($BM$21=1,BP21,0)+IF($BM$22=1,BP22,0)+IF($BM$23=1,BP23,0)+IF($BM$24=1,BP24,0)+IF($BM$25=1,BP25,0)+IF($BM$26=1,BP26,0)+IF($BM$27=1,BP27,0)+IF($BM$28=1,BP28,0)+IF($BM$29=1,BP29,0)+IF($BM$30=1,BP30,0)</f>
        <v>0</v>
      </c>
      <c r="BW17" s="27">
        <f ca="1">IF($BM$19=1,BQ19,0)+IF($BM$20=1,BQ20,0)+IF($BM$21=1,BQ21,0)+IF($BM$22=1,BQ22,0)+IF($BM$23=1,BQ23,0)+IF($BM$24=1,BQ24,0)+IF($BM$25=1,BQ25,0)+IF($BM$26=1,BQ26,0)+IF($BM$27=1,BQ27,0)+IF($BM$28=1,BQ28,0)+IF($BM$29=1,BQ29,0)+IF($BM$30=1,BQ30,0)</f>
        <v>0</v>
      </c>
      <c r="BX17" s="27">
        <f ca="1">IF($BM$19=1,BR19,0)+IF($BM$20=1,BR20,0)+IF($BM$21=1,BR21,0)+IF($BM$22=1,BR22,0)+IF($BM$23=1,BR23,0)+IF($BM$24=1,BR24,0)+IF($BM$25=1,BR25,0)+IF($BM$26=1,BR26,0)+IF($BM$27=1,BR27,0)+IF($BM$28=1,BR28,0)+IF($BM$29=1,BR29,0)+IF($BM$30=1,BR30,0)</f>
        <v>0</v>
      </c>
      <c r="CO17" s="24"/>
      <c r="CP17" s="24"/>
      <c r="CQ17" s="25" t="s">
        <v>1186</v>
      </c>
      <c r="CR17" s="24"/>
      <c r="CS17" s="24"/>
      <c r="CT17" s="24"/>
      <c r="CU17" s="22" t="s">
        <v>14</v>
      </c>
      <c r="CV17" s="22" t="s">
        <v>1085</v>
      </c>
      <c r="CW17" s="22" t="s">
        <v>1100</v>
      </c>
      <c r="CX17" s="22" t="s">
        <v>1096</v>
      </c>
      <c r="CY17" s="22" t="s">
        <v>1097</v>
      </c>
      <c r="DB17" s="24"/>
      <c r="DC17" s="24"/>
      <c r="DD17" s="24"/>
      <c r="DE17" s="24"/>
      <c r="DF17" s="24"/>
      <c r="DG17" s="24"/>
      <c r="DH17" s="24"/>
      <c r="DL17" s="24"/>
      <c r="DM17" s="24"/>
      <c r="DN17" s="24"/>
      <c r="DO17" s="24"/>
      <c r="DP17" s="24"/>
      <c r="DQ17" s="24"/>
      <c r="EI17" s="3" t="s">
        <v>1063</v>
      </c>
      <c r="EJ17" s="3">
        <v>15</v>
      </c>
      <c r="EK17" s="3"/>
    </row>
    <row r="18" spans="1:156" ht="16.5" customHeight="1" x14ac:dyDescent="0.25">
      <c r="A18" s="36"/>
      <c r="C18" s="353"/>
      <c r="D18" s="354"/>
      <c r="F18" s="262" t="s">
        <v>1044</v>
      </c>
      <c r="G18" s="262" t="s">
        <v>1045</v>
      </c>
      <c r="H18" s="3"/>
      <c r="I18" s="23" t="s">
        <v>1075</v>
      </c>
      <c r="J18" s="262" t="str">
        <f>J16</f>
        <v>Levererad energi</v>
      </c>
      <c r="K18" s="3"/>
      <c r="L18" s="23" t="s">
        <v>1075</v>
      </c>
      <c r="M18" s="262" t="str">
        <f>M16</f>
        <v>Producerad energi</v>
      </c>
      <c r="N18" s="3"/>
      <c r="O18" s="23" t="s">
        <v>1075</v>
      </c>
      <c r="P18" s="262" t="str">
        <f>P16</f>
        <v>Producerad energi</v>
      </c>
      <c r="Q18" s="3"/>
      <c r="R18" s="3"/>
      <c r="S18" s="3"/>
      <c r="T18" s="3"/>
      <c r="U18" s="3"/>
      <c r="V18" s="3"/>
      <c r="Y18" s="162" t="s">
        <v>14</v>
      </c>
      <c r="Z18" s="162" t="s">
        <v>1085</v>
      </c>
      <c r="AA18" s="162" t="s">
        <v>1100</v>
      </c>
      <c r="AB18" s="162" t="s">
        <v>1096</v>
      </c>
      <c r="AC18" s="162" t="s">
        <v>1097</v>
      </c>
      <c r="AD18" s="162" t="s">
        <v>1094</v>
      </c>
      <c r="AE18" s="84"/>
      <c r="AG18" s="162" t="s">
        <v>14</v>
      </c>
      <c r="AH18" s="162" t="s">
        <v>1085</v>
      </c>
      <c r="AI18" s="162" t="s">
        <v>1100</v>
      </c>
      <c r="AJ18" s="162" t="s">
        <v>1096</v>
      </c>
      <c r="AK18" s="162" t="s">
        <v>1097</v>
      </c>
      <c r="AL18" s="162" t="s">
        <v>1094</v>
      </c>
      <c r="AM18" s="110"/>
      <c r="AN18" s="162" t="s">
        <v>14</v>
      </c>
      <c r="AO18" s="162" t="s">
        <v>1085</v>
      </c>
      <c r="AP18" s="162" t="s">
        <v>1100</v>
      </c>
      <c r="AQ18" s="162" t="s">
        <v>1096</v>
      </c>
      <c r="AR18" s="162" t="s">
        <v>1097</v>
      </c>
      <c r="AS18" s="162" t="s">
        <v>1094</v>
      </c>
      <c r="AT18" s="349"/>
      <c r="AU18" s="349"/>
      <c r="AV18" s="84" t="s">
        <v>1368</v>
      </c>
      <c r="AW18" s="349"/>
      <c r="AX18" s="84" t="s">
        <v>1368</v>
      </c>
      <c r="AZ18" s="22" t="s">
        <v>14</v>
      </c>
      <c r="BA18" s="22" t="s">
        <v>1085</v>
      </c>
      <c r="BB18" s="22" t="s">
        <v>1100</v>
      </c>
      <c r="BC18" s="22" t="s">
        <v>1096</v>
      </c>
      <c r="BD18" s="22" t="s">
        <v>1097</v>
      </c>
      <c r="BE18" s="22" t="s">
        <v>1094</v>
      </c>
      <c r="BH18" s="22" t="s">
        <v>1045</v>
      </c>
      <c r="BI18" s="22" t="s">
        <v>1173</v>
      </c>
      <c r="BJ18" s="22" t="s">
        <v>1180</v>
      </c>
      <c r="BK18" s="16" t="s">
        <v>1174</v>
      </c>
      <c r="BL18" s="22" t="s">
        <v>1179</v>
      </c>
      <c r="BM18" s="22" t="s">
        <v>1180</v>
      </c>
      <c r="BN18" s="22" t="s">
        <v>14</v>
      </c>
      <c r="BO18" s="22" t="s">
        <v>1085</v>
      </c>
      <c r="BP18" s="22" t="s">
        <v>1100</v>
      </c>
      <c r="BQ18" s="22" t="s">
        <v>1096</v>
      </c>
      <c r="BR18" s="22" t="s">
        <v>1097</v>
      </c>
      <c r="BS18" s="22" t="s">
        <v>1094</v>
      </c>
      <c r="BT18" s="22" t="s">
        <v>1169</v>
      </c>
      <c r="BU18" s="22" t="s">
        <v>1169</v>
      </c>
      <c r="BV18" s="22" t="s">
        <v>1169</v>
      </c>
      <c r="BW18" s="22" t="s">
        <v>1169</v>
      </c>
      <c r="BX18" s="22" t="s">
        <v>1169</v>
      </c>
      <c r="BY18" s="22"/>
      <c r="BZ18" s="22" t="s">
        <v>1179</v>
      </c>
      <c r="CA18" s="22" t="s">
        <v>1180</v>
      </c>
      <c r="CB18" s="22" t="s">
        <v>14</v>
      </c>
      <c r="CC18" s="22" t="s">
        <v>1085</v>
      </c>
      <c r="CD18" s="22" t="s">
        <v>1100</v>
      </c>
      <c r="CE18" s="22" t="s">
        <v>1096</v>
      </c>
      <c r="CF18" s="22" t="s">
        <v>1097</v>
      </c>
      <c r="CG18" s="22" t="s">
        <v>1094</v>
      </c>
      <c r="CJ18" s="22" t="s">
        <v>14</v>
      </c>
      <c r="CK18" s="22" t="s">
        <v>1085</v>
      </c>
      <c r="CL18" s="22" t="s">
        <v>1100</v>
      </c>
      <c r="CM18" s="22" t="s">
        <v>1096</v>
      </c>
      <c r="CN18" s="22" t="s">
        <v>1097</v>
      </c>
      <c r="CO18" s="22" t="s">
        <v>1094</v>
      </c>
      <c r="CP18" s="22"/>
      <c r="CQ18" s="22" t="s">
        <v>1113</v>
      </c>
      <c r="CR18" s="22" t="str">
        <f ca="1">Normalår!I4</f>
        <v>DalsEds</v>
      </c>
      <c r="CS18" s="22" t="s">
        <v>1115</v>
      </c>
      <c r="CU18" s="16" t="s">
        <v>1075</v>
      </c>
      <c r="CV18" s="16" t="s">
        <v>1075</v>
      </c>
      <c r="CW18" s="16" t="s">
        <v>1075</v>
      </c>
      <c r="CX18" s="16" t="s">
        <v>1075</v>
      </c>
      <c r="CY18" s="16" t="s">
        <v>1075</v>
      </c>
      <c r="CZ18" s="22" t="s">
        <v>1094</v>
      </c>
      <c r="DB18" s="22"/>
      <c r="DD18" s="22" t="s">
        <v>14</v>
      </c>
      <c r="DE18" s="22" t="s">
        <v>1085</v>
      </c>
      <c r="DF18" s="22" t="s">
        <v>1100</v>
      </c>
      <c r="DG18" s="22" t="s">
        <v>1096</v>
      </c>
      <c r="DH18" s="22" t="s">
        <v>1097</v>
      </c>
      <c r="DI18" s="22" t="s">
        <v>1094</v>
      </c>
      <c r="DM18" s="22" t="s">
        <v>14</v>
      </c>
      <c r="DN18" s="22" t="s">
        <v>1085</v>
      </c>
      <c r="DO18" s="22" t="s">
        <v>1100</v>
      </c>
      <c r="DP18" s="22" t="s">
        <v>1096</v>
      </c>
      <c r="DQ18" s="22" t="s">
        <v>1097</v>
      </c>
      <c r="DR18" s="22" t="s">
        <v>1094</v>
      </c>
      <c r="EI18" s="3" t="s">
        <v>1064</v>
      </c>
      <c r="EJ18" s="3">
        <v>16</v>
      </c>
      <c r="EK18" s="3"/>
    </row>
    <row r="19" spans="1:156" ht="16.5" customHeight="1" x14ac:dyDescent="0.25">
      <c r="C19" s="355"/>
      <c r="D19" s="356"/>
      <c r="E19" s="20"/>
      <c r="F19" s="249">
        <f>G14</f>
        <v>2021</v>
      </c>
      <c r="G19" s="249" t="str">
        <f t="shared" ref="G19:G30" ca="1" si="1">OFFSET($EI$2,$EI$28+ROW(F19)-ROW($F$19),0)</f>
        <v>jan</v>
      </c>
      <c r="H19" s="3"/>
      <c r="I19" s="41">
        <f>IF($D$14&gt;0,IF($I$18=$J$18,J19,J19/$J$15),0)</f>
        <v>0</v>
      </c>
      <c r="J19" s="259"/>
      <c r="K19" s="2"/>
      <c r="L19" s="41">
        <f t="shared" ref="L19:L30" si="2">IF($D$14&gt;1,IF($L$18=$M$18,M19,M19/$M$15),0)</f>
        <v>0</v>
      </c>
      <c r="M19" s="259"/>
      <c r="N19" s="2"/>
      <c r="O19" s="41">
        <f t="shared" ref="O19:O30" si="3">IF($D$14&gt;2,IF($O$18=$P$18,P19,P19/$P$15),0)</f>
        <v>0</v>
      </c>
      <c r="P19" s="259"/>
      <c r="Q19" s="42"/>
      <c r="R19" s="42"/>
      <c r="S19" s="42"/>
      <c r="T19" s="42"/>
      <c r="U19" s="42"/>
      <c r="V19" s="42"/>
      <c r="Y19" s="164">
        <f t="shared" ref="Y19:Y30" si="4">IF($J$14=$Y$18,I19,0)+IF($M$14=$Y$18,L19,0)+IF($P$14=$Y$18,O19,0)</f>
        <v>0</v>
      </c>
      <c r="Z19" s="164">
        <f t="shared" ref="Z19:Z30" si="5">IF(OR($J$14="El-panna",$J$14="Värmepump"),I19,0)+IF(OR($M$14="El-panna",$M$14="Värmepump"),L19,0)+IF(OR($P$14="El-panna",$P$14="Värmepump"),O19,0)</f>
        <v>0</v>
      </c>
      <c r="AA19" s="164">
        <f t="shared" ref="AA19:AA30" si="6">IF(OR($J$14="Flispanna",$J$14="Pelletspanna",$J$14="Vedpanna"),I19,0)+IF(OR($M$14="Flispanna",$M$14="Pelletspanna",$M$14="Vedpanna"),L19,0)+IF(OR($P$14="Flispanna",$P$14="Pelletspanna",$P$14="Vedpanna"),O19,0)</f>
        <v>0</v>
      </c>
      <c r="AB19" s="164">
        <f t="shared" ref="AB19:AB30" si="7">IF($J$14="Gaspanna",I19,0)+IF($M$14="Gaspanna",L19,0)+IF($P$14="Gaspanna",O19,0)</f>
        <v>0</v>
      </c>
      <c r="AC19" s="164">
        <f t="shared" ref="AC19:AC30" si="8">IF($J$14="Oljepanna",I19,0)+IF($M$14="Oljepanna",L19,0)+IF($P$14="Oljepanna",O19,0)</f>
        <v>0</v>
      </c>
      <c r="AD19" s="163">
        <f t="shared" ref="AD19:AD30" si="9">Y19+Z19+AA19+AB19+AC19</f>
        <v>0</v>
      </c>
      <c r="AE19" s="236"/>
      <c r="AG19" s="164">
        <f>Y19+AG65</f>
        <v>0</v>
      </c>
      <c r="AH19" s="164">
        <f t="shared" ref="AH19:AK30" si="10">Z19+AH65</f>
        <v>0</v>
      </c>
      <c r="AI19" s="164">
        <f t="shared" si="10"/>
        <v>0</v>
      </c>
      <c r="AJ19" s="164">
        <f t="shared" si="10"/>
        <v>0</v>
      </c>
      <c r="AK19" s="164">
        <f t="shared" si="10"/>
        <v>0</v>
      </c>
      <c r="AL19" s="163">
        <f t="shared" ref="AL19:AL30" si="11">AG19+AH19+AI19+AJ19+AK19</f>
        <v>0</v>
      </c>
      <c r="AM19" s="129"/>
      <c r="AN19" s="163">
        <f>IF(Y19&gt;0,Y19*($Y$32/$Y$31),0)+IF(AG65&gt;0,AG65*($Y$57/$Y$56),0)</f>
        <v>0</v>
      </c>
      <c r="AO19" s="163">
        <f>IF(Z19&gt;0,Z19*($Z$32/$Z$31),0)+IF(AH65&gt;0,AH65*($Z$57/$Z$56),0)</f>
        <v>0</v>
      </c>
      <c r="AP19" s="163">
        <f>IF(AA19&gt;0,AA19*($AA$32/$AA$31),0)+IF(AI65&gt;0,AI65*($AA$57/$AA$56),0)</f>
        <v>0</v>
      </c>
      <c r="AQ19" s="163">
        <f>IF(AB19&gt;0,AB19*($AB$32/$AB$31),0)+IF(AJ65&gt;0,AJ65*($AB$57/$AB$56),0)</f>
        <v>0</v>
      </c>
      <c r="AR19" s="163">
        <f>IF(AC19&gt;0,AC19*($AC$32/$AC$31),0)+IF(AK65&gt;0,AK65*($AC$57/$AC$56),0)</f>
        <v>0</v>
      </c>
      <c r="AS19" s="163">
        <f>AN19+AO19+AP19+AQ19+AR19</f>
        <v>0</v>
      </c>
      <c r="AT19" s="163">
        <f>IF($AN$33&gt;0,(AN19-$AN$33*(AF130+AH130+AD130))/$AN$32,0)+IF($AO$33&gt;0,(AO19-$AO$33*(AF130+AH130+AD130))/$AO$32,0)+IF($AP$33&gt;0,(AP19-$AP$33*(AF130+AH130+AD130))/$AP$32,0)+IF($AQ$33&gt;0,(AQ19-$AQ$33*(AF130+AH130+AD130))/$AQ$32,0)+IF($AR$33&gt;0,(AR19-$AR$33*(AF130+AH130+AD130))/$AR$32,0)</f>
        <v>0</v>
      </c>
      <c r="AU19" s="132">
        <f>AT19-Z130</f>
        <v>0</v>
      </c>
      <c r="AV19" s="237" t="str">
        <f>IF(AT19&lt;0,"Fel i indata","")</f>
        <v/>
      </c>
      <c r="AW19" s="163">
        <f>IF($AO$33&gt;0,((AO19/$AO$32)-Z130),0)</f>
        <v>0</v>
      </c>
      <c r="AX19" s="237" t="str">
        <f>IF(OR(AU19&lt;0,AW19&lt;0),"Fel i indata","")</f>
        <v/>
      </c>
      <c r="AZ19" s="43">
        <f t="shared" ref="AZ19:AZ30" si="12">Y19</f>
        <v>0</v>
      </c>
      <c r="BA19" s="43">
        <f t="shared" ref="BA19:BA30" si="13">Z19</f>
        <v>0</v>
      </c>
      <c r="BB19" s="43">
        <f t="shared" ref="BB19:BB30" si="14">AA19</f>
        <v>0</v>
      </c>
      <c r="BC19" s="43">
        <f t="shared" ref="BC19:BC30" si="15">AB19</f>
        <v>0</v>
      </c>
      <c r="BD19" s="43">
        <f t="shared" ref="BD19:BD30" si="16">AC19</f>
        <v>0</v>
      </c>
      <c r="BE19" s="30">
        <f>AZ19+BA19+BB19+BC19+BD19</f>
        <v>0</v>
      </c>
      <c r="BF19" s="22"/>
      <c r="BH19" s="22" t="str">
        <f t="shared" ref="BH19:BH30" ca="1" si="17">OFFSET($EI$2,$BI$15+ROW(BH19)-ROW($BH$19),0)</f>
        <v>nov</v>
      </c>
      <c r="BI19" s="44">
        <f t="shared" ref="BI19:BI30" ca="1" si="18">MATCH(BH19,$EI$3:$EI$14,0)</f>
        <v>11</v>
      </c>
      <c r="BJ19" s="44">
        <f t="shared" ref="BJ19:BJ30" ca="1" si="19">IF(OR(BI19&gt;=$BI$15,BI19&lt;=$BI$16),1,0)</f>
        <v>1</v>
      </c>
      <c r="BK19" s="44">
        <f t="shared" ref="BK19:BK30" ca="1" si="20">IF(BJ19=1,VLOOKUP(BH19,$EI$3:$EK$14,3,FALSE),0)</f>
        <v>720</v>
      </c>
      <c r="BL19" s="45" t="str">
        <f t="shared" ref="BL19:BL30" ca="1" si="21">G19</f>
        <v>jan</v>
      </c>
      <c r="BM19" s="45">
        <f ca="1">VLOOKUP(BL19,$BH$19:$BJ$30,3,FALSE)</f>
        <v>1</v>
      </c>
      <c r="BN19" s="43">
        <f ca="1">IF($BM19=1,AZ19*$BO$12,AZ19)</f>
        <v>0</v>
      </c>
      <c r="BO19" s="43">
        <f t="shared" ref="BO19:BR30" ca="1" si="22">IF($BM19=1,BA19*$BO$12,BA19)</f>
        <v>0</v>
      </c>
      <c r="BP19" s="43">
        <f ca="1">IF($BM19=1,BB19*$BO$12,BB19)</f>
        <v>0</v>
      </c>
      <c r="BQ19" s="43">
        <f t="shared" ca="1" si="22"/>
        <v>0</v>
      </c>
      <c r="BR19" s="43">
        <f t="shared" ca="1" si="22"/>
        <v>0</v>
      </c>
      <c r="BS19" s="30">
        <f ca="1">BN19+BO19+BP19+BQ19+BR19</f>
        <v>0</v>
      </c>
      <c r="BT19" s="46">
        <f t="shared" ref="BT19:BT30" ca="1" si="23">IF(AND(BN19&gt;0,BM19=1),BN19/$BT$17,0)</f>
        <v>0</v>
      </c>
      <c r="BU19" s="46">
        <f t="shared" ref="BU19:BU30" ca="1" si="24">IF(AND(BO19&gt;0,BM19=1),BO19/$BU$17,0)</f>
        <v>0</v>
      </c>
      <c r="BV19" s="46">
        <f t="shared" ref="BV19:BV30" ca="1" si="25">IF(AND(BP19&gt;0,BM19=1),BP19/$BV$17,0)</f>
        <v>0</v>
      </c>
      <c r="BW19" s="46">
        <f t="shared" ref="BW19:BW30" ca="1" si="26">IF(AND(BQ19&gt;0,BM19=1),BQ19/$BW$17,0)</f>
        <v>0</v>
      </c>
      <c r="BX19" s="46">
        <f t="shared" ref="BX19:BX30" ca="1" si="27">IF(AND(BR19&gt;0,BM19=1),BR19/$BX$17,0)</f>
        <v>0</v>
      </c>
      <c r="BY19" s="46"/>
      <c r="BZ19" s="45" t="str">
        <f ca="1">BL19</f>
        <v>jan</v>
      </c>
      <c r="CA19" s="45">
        <f ca="1">BM19</f>
        <v>1</v>
      </c>
      <c r="CB19" s="43">
        <f t="shared" ref="CB19:CB30" ca="1" si="28">BN19+$CB$15*BT19</f>
        <v>0</v>
      </c>
      <c r="CC19" s="43">
        <f t="shared" ref="CC19:CC30" ca="1" si="29">BO19+$CC$15*BU19</f>
        <v>0</v>
      </c>
      <c r="CD19" s="43">
        <f t="shared" ref="CD19:CD30" ca="1" si="30">BP19+$CD$15*BV19</f>
        <v>0</v>
      </c>
      <c r="CE19" s="43">
        <f t="shared" ref="CE19:CE30" ca="1" si="31">BQ19+$CE$15*BW19</f>
        <v>0</v>
      </c>
      <c r="CF19" s="43">
        <f t="shared" ref="CF19:CF30" ca="1" si="32">BR19+$CF$15*BX19</f>
        <v>0</v>
      </c>
      <c r="CG19" s="30">
        <f ca="1">CB19+CC19+CD19+CE19+CF19</f>
        <v>0</v>
      </c>
      <c r="CI19" s="24"/>
      <c r="CJ19" s="30">
        <f t="shared" ref="CJ19:CJ30" ca="1" si="33">IF(CB19&gt;0,CB19+$AH$130/$CJ$14*$CB$32,0)</f>
        <v>0</v>
      </c>
      <c r="CK19" s="30">
        <f t="shared" ref="CK19:CK30" ca="1" si="34">IF(CC19&gt;0,CC19+$AH$130/$CK$14*$CC$32,0)</f>
        <v>0</v>
      </c>
      <c r="CL19" s="30">
        <f t="shared" ref="CL19:CL30" ca="1" si="35">IF(CD19&gt;0,CD19+$AH$130/$CL$14*$CD$32,0)</f>
        <v>0</v>
      </c>
      <c r="CM19" s="30">
        <f t="shared" ref="CM19:CM30" ca="1" si="36">IF(CE19&gt;0,CE19+$AH$130/$CM$14*$CE$32,0)</f>
        <v>0</v>
      </c>
      <c r="CN19" s="30">
        <f t="shared" ref="CN19:CN30" ca="1" si="37">IF(CF19&gt;0,CF19+$AH$130/$CN$14*$CF$32,0)</f>
        <v>0</v>
      </c>
      <c r="CO19" s="30">
        <f ca="1">CJ19+CK19+CL19+CM19+CN19</f>
        <v>0</v>
      </c>
      <c r="CP19" s="22"/>
      <c r="CQ19" s="32" t="str">
        <f t="shared" ref="CQ19:CQ30" ca="1" si="38">F19 &amp; TEXT(MATCH(G19,$EI$3:$EI$14,0),"00")</f>
        <v>202101</v>
      </c>
      <c r="CR19" s="32">
        <f ca="1">MATCH(Mätvärden!CQ19,Normalår!$R$5:$R$200,0)-1</f>
        <v>72</v>
      </c>
      <c r="CS19" s="47">
        <f ca="1">OFFSET(Normalår!$S$5,CR19,0)</f>
        <v>0.96830888393381065</v>
      </c>
      <c r="CU19" s="43">
        <f ca="1">CJ19*CS19</f>
        <v>0</v>
      </c>
      <c r="CV19" s="43">
        <f ca="1">CK19*CS19</f>
        <v>0</v>
      </c>
      <c r="CW19" s="43">
        <f ca="1">CL19*CS19</f>
        <v>0</v>
      </c>
      <c r="CX19" s="43">
        <f ca="1">CM19*CS19</f>
        <v>0</v>
      </c>
      <c r="CY19" s="43">
        <f ca="1">CN19*CS19</f>
        <v>0</v>
      </c>
      <c r="CZ19" s="30">
        <f ca="1">CU19+CV19+CW19+CX19+CY19</f>
        <v>0</v>
      </c>
      <c r="DD19" s="30">
        <f ca="1">CU19</f>
        <v>0</v>
      </c>
      <c r="DE19" s="30">
        <f ca="1">CV19</f>
        <v>0</v>
      </c>
      <c r="DF19" s="30">
        <f ca="1">CW19</f>
        <v>0</v>
      </c>
      <c r="DG19" s="30">
        <f ca="1">CX19</f>
        <v>0</v>
      </c>
      <c r="DH19" s="30">
        <f ca="1">CY19</f>
        <v>0</v>
      </c>
      <c r="DI19" s="30">
        <f ca="1">DD19+DE19+DF19+DG19+DH19</f>
        <v>0</v>
      </c>
      <c r="DM19" s="30">
        <f t="shared" ref="DM19:DM30" ca="1" si="39">CU19</f>
        <v>0</v>
      </c>
      <c r="DN19" s="30">
        <f t="shared" ref="DN19:DN30" ca="1" si="40">CV19</f>
        <v>0</v>
      </c>
      <c r="DO19" s="30">
        <f t="shared" ref="DO19:DO30" ca="1" si="41">CW19</f>
        <v>0</v>
      </c>
      <c r="DP19" s="30">
        <f t="shared" ref="DP19:DP30" ca="1" si="42">CX19</f>
        <v>0</v>
      </c>
      <c r="DQ19" s="30">
        <f t="shared" ref="DQ19:DQ30" ca="1" si="43">CY19</f>
        <v>0</v>
      </c>
      <c r="DR19" s="30">
        <f ca="1">DM19+DN19+DO19+DP19+DQ19</f>
        <v>0</v>
      </c>
      <c r="EI19" s="3" t="s">
        <v>1065</v>
      </c>
      <c r="EJ19" s="3">
        <v>17</v>
      </c>
      <c r="EK19" s="3"/>
    </row>
    <row r="20" spans="1:156" ht="16.5" customHeight="1" x14ac:dyDescent="0.25">
      <c r="C20" s="153"/>
      <c r="D20" s="153"/>
      <c r="F20" s="249">
        <f ca="1">IF(G20="jan",F19+1,F19)</f>
        <v>2021</v>
      </c>
      <c r="G20" s="249" t="str">
        <f t="shared" ca="1" si="1"/>
        <v>feb</v>
      </c>
      <c r="H20" s="3"/>
      <c r="I20" s="41">
        <f t="shared" ref="I20:I30" si="44">IF($D$14&gt;0,IF($I$18=$J$18,J20,J20/$J$15),0)</f>
        <v>0</v>
      </c>
      <c r="J20" s="259"/>
      <c r="K20" s="2"/>
      <c r="L20" s="41">
        <f t="shared" si="2"/>
        <v>0</v>
      </c>
      <c r="M20" s="259"/>
      <c r="N20" s="2"/>
      <c r="O20" s="41">
        <f t="shared" si="3"/>
        <v>0</v>
      </c>
      <c r="P20" s="259"/>
      <c r="Q20" s="42"/>
      <c r="R20" s="42"/>
      <c r="S20" s="42"/>
      <c r="T20" s="42"/>
      <c r="U20" s="42"/>
      <c r="V20" s="42"/>
      <c r="Y20" s="164">
        <f t="shared" si="4"/>
        <v>0</v>
      </c>
      <c r="Z20" s="164">
        <f t="shared" si="5"/>
        <v>0</v>
      </c>
      <c r="AA20" s="164">
        <f t="shared" si="6"/>
        <v>0</v>
      </c>
      <c r="AB20" s="164">
        <f t="shared" si="7"/>
        <v>0</v>
      </c>
      <c r="AC20" s="164">
        <f t="shared" si="8"/>
        <v>0</v>
      </c>
      <c r="AD20" s="163">
        <f t="shared" si="9"/>
        <v>0</v>
      </c>
      <c r="AE20" s="236"/>
      <c r="AG20" s="164">
        <f t="shared" ref="AG20:AG30" si="45">Y20+AG66</f>
        <v>0</v>
      </c>
      <c r="AH20" s="164">
        <f t="shared" si="10"/>
        <v>0</v>
      </c>
      <c r="AI20" s="164">
        <f t="shared" si="10"/>
        <v>0</v>
      </c>
      <c r="AJ20" s="164">
        <f t="shared" si="10"/>
        <v>0</v>
      </c>
      <c r="AK20" s="164">
        <f t="shared" si="10"/>
        <v>0</v>
      </c>
      <c r="AL20" s="163">
        <f t="shared" si="11"/>
        <v>0</v>
      </c>
      <c r="AM20" s="129"/>
      <c r="AN20" s="163">
        <f t="shared" ref="AN20:AN30" si="46">IF(Y20&gt;0,Y20*($Y$32/$Y$31),0)+IF(AG66&gt;0,AG66*($Y$57/$Y$56),0)</f>
        <v>0</v>
      </c>
      <c r="AO20" s="163">
        <f t="shared" ref="AO20:AO30" si="47">IF(Z20&gt;0,Z20*($Z$32/$Z$31),0)+IF(AH66&gt;0,AH66*($Z$57/$Z$56),0)</f>
        <v>0</v>
      </c>
      <c r="AP20" s="163">
        <f t="shared" ref="AP20:AP30" si="48">IF(AA20&gt;0,AA20*($AA$32/$AA$31),0)+IF(AI66&gt;0,AI66*($AA$57/$AA$56),0)</f>
        <v>0</v>
      </c>
      <c r="AQ20" s="163">
        <f t="shared" ref="AQ20:AQ30" si="49">IF(AB20&gt;0,AB20*($AB$32/$AB$31),0)+IF(AJ66&gt;0,AJ66*($AB$57/$AB$56),0)</f>
        <v>0</v>
      </c>
      <c r="AR20" s="163">
        <f t="shared" ref="AR20:AR30" si="50">IF(AC20&gt;0,AC20*($AC$32/$AC$31),0)+IF(AK66&gt;0,AK66*($AC$57/$AC$56),0)</f>
        <v>0</v>
      </c>
      <c r="AS20" s="163">
        <f t="shared" ref="AS20:AS30" si="51">AN20+AO20+AP20+AQ20+AR20</f>
        <v>0</v>
      </c>
      <c r="AT20" s="163">
        <f>IF($AN$33&gt;0,(AN20-$AN$33*(AF131+AH131+AD131))/$AN$32,0)+IF($AO$33&gt;0,(AO20-$AO$33*(AF131+AH131+AD131))/$AO$32,0)+IF($AP$33&gt;0,(AP20-$AP$33*(AF131+AH131+AD131))/$AP$32,0)+IF($AQ$33&gt;0,(AQ20-$AQ$33*(AF131+AH131+AD131))/$AQ$32,0)+IF($AR$33&gt;0,(AR20-$AR$33*(AF131+AH131+AD131))/$AR$32,0)</f>
        <v>0</v>
      </c>
      <c r="AU20" s="132">
        <f t="shared" ref="AU20:AU30" si="52">AT20-Z131</f>
        <v>0</v>
      </c>
      <c r="AV20" s="237" t="str">
        <f t="shared" ref="AV20:AV29" si="53">IF(AT20&lt;0,"Fel i indata","")</f>
        <v/>
      </c>
      <c r="AW20" s="163">
        <f t="shared" ref="AW20:AW30" si="54">IF($AO$33&gt;0,((AO20/$AO$32)-Z131),0)</f>
        <v>0</v>
      </c>
      <c r="AX20" s="237" t="str">
        <f t="shared" ref="AX20:AX30" si="55">IF(OR(AU20&lt;0,AW20&lt;0),"Fel i indata","")</f>
        <v/>
      </c>
      <c r="AY20" s="22"/>
      <c r="AZ20" s="43">
        <f t="shared" si="12"/>
        <v>0</v>
      </c>
      <c r="BA20" s="43">
        <f t="shared" si="13"/>
        <v>0</v>
      </c>
      <c r="BB20" s="43">
        <f t="shared" si="14"/>
        <v>0</v>
      </c>
      <c r="BC20" s="43">
        <f t="shared" si="15"/>
        <v>0</v>
      </c>
      <c r="BD20" s="43">
        <f t="shared" si="16"/>
        <v>0</v>
      </c>
      <c r="BE20" s="30">
        <f t="shared" ref="BE20:BE30" si="56">AZ20+BA20+BB20+BC20+BD20</f>
        <v>0</v>
      </c>
      <c r="BF20" s="22"/>
      <c r="BH20" s="22" t="str">
        <f t="shared" ca="1" si="17"/>
        <v>dec</v>
      </c>
      <c r="BI20" s="44">
        <f t="shared" ca="1" si="18"/>
        <v>12</v>
      </c>
      <c r="BJ20" s="44">
        <f t="shared" ca="1" si="19"/>
        <v>1</v>
      </c>
      <c r="BK20" s="44">
        <f t="shared" ca="1" si="20"/>
        <v>744</v>
      </c>
      <c r="BL20" s="45" t="str">
        <f t="shared" ca="1" si="21"/>
        <v>feb</v>
      </c>
      <c r="BM20" s="45">
        <f t="shared" ref="BM20:BM30" ca="1" si="57">VLOOKUP(BL20,$BH$19:$BJ$30,3,FALSE)</f>
        <v>1</v>
      </c>
      <c r="BN20" s="43">
        <f t="shared" ref="BN20:BN30" ca="1" si="58">IF($BM20=1,AZ20*$BO$12,AZ20)</f>
        <v>0</v>
      </c>
      <c r="BO20" s="43">
        <f t="shared" ca="1" si="22"/>
        <v>0</v>
      </c>
      <c r="BP20" s="43">
        <f t="shared" ca="1" si="22"/>
        <v>0</v>
      </c>
      <c r="BQ20" s="43">
        <f t="shared" ca="1" si="22"/>
        <v>0</v>
      </c>
      <c r="BR20" s="43">
        <f t="shared" ca="1" si="22"/>
        <v>0</v>
      </c>
      <c r="BS20" s="30">
        <f t="shared" ref="BS20:BS30" ca="1" si="59">BN20+BO20+BP20+BQ20+BR20</f>
        <v>0</v>
      </c>
      <c r="BT20" s="46">
        <f t="shared" ca="1" si="23"/>
        <v>0</v>
      </c>
      <c r="BU20" s="46">
        <f t="shared" ca="1" si="24"/>
        <v>0</v>
      </c>
      <c r="BV20" s="46">
        <f t="shared" ca="1" si="25"/>
        <v>0</v>
      </c>
      <c r="BW20" s="46">
        <f t="shared" ca="1" si="26"/>
        <v>0</v>
      </c>
      <c r="BX20" s="46">
        <f t="shared" ca="1" si="27"/>
        <v>0</v>
      </c>
      <c r="BY20" s="46"/>
      <c r="BZ20" s="45" t="str">
        <f t="shared" ref="BZ20:BZ30" ca="1" si="60">BL20</f>
        <v>feb</v>
      </c>
      <c r="CA20" s="45">
        <f t="shared" ref="CA20:CA30" ca="1" si="61">BM20</f>
        <v>1</v>
      </c>
      <c r="CB20" s="43">
        <f t="shared" ca="1" si="28"/>
        <v>0</v>
      </c>
      <c r="CC20" s="43">
        <f t="shared" ca="1" si="29"/>
        <v>0</v>
      </c>
      <c r="CD20" s="43">
        <f t="shared" ca="1" si="30"/>
        <v>0</v>
      </c>
      <c r="CE20" s="43">
        <f t="shared" ca="1" si="31"/>
        <v>0</v>
      </c>
      <c r="CF20" s="43">
        <f t="shared" ca="1" si="32"/>
        <v>0</v>
      </c>
      <c r="CG20" s="30">
        <f t="shared" ref="CG20:CG30" ca="1" si="62">CB20+CC20+CD20+CE20+CF20</f>
        <v>0</v>
      </c>
      <c r="CI20" s="24"/>
      <c r="CJ20" s="30">
        <f t="shared" ca="1" si="33"/>
        <v>0</v>
      </c>
      <c r="CK20" s="30">
        <f t="shared" ca="1" si="34"/>
        <v>0</v>
      </c>
      <c r="CL20" s="30">
        <f t="shared" ca="1" si="35"/>
        <v>0</v>
      </c>
      <c r="CM20" s="30">
        <f t="shared" ca="1" si="36"/>
        <v>0</v>
      </c>
      <c r="CN20" s="30">
        <f t="shared" ca="1" si="37"/>
        <v>0</v>
      </c>
      <c r="CO20" s="30">
        <f t="shared" ref="CO20:CO30" ca="1" si="63">CJ20+CK20+CL20+CM20+CN20</f>
        <v>0</v>
      </c>
      <c r="CP20" s="22"/>
      <c r="CQ20" s="32" t="str">
        <f t="shared" ca="1" si="38"/>
        <v>202102</v>
      </c>
      <c r="CR20" s="32">
        <f ca="1">MATCH(Mätvärden!CQ20,Normalår!$R$5:$R$200,0)-1</f>
        <v>73</v>
      </c>
      <c r="CS20" s="47">
        <f ca="1">OFFSET(Normalår!$S$5,CR20,0)</f>
        <v>0.91424193917219321</v>
      </c>
      <c r="CU20" s="43">
        <f t="shared" ref="CU20:CU30" ca="1" si="64">CJ20*CS20</f>
        <v>0</v>
      </c>
      <c r="CV20" s="43">
        <f t="shared" ref="CV20:CV30" ca="1" si="65">CK20*CS20</f>
        <v>0</v>
      </c>
      <c r="CW20" s="43">
        <f t="shared" ref="CW20:CW30" ca="1" si="66">CL20*CS20</f>
        <v>0</v>
      </c>
      <c r="CX20" s="43">
        <f t="shared" ref="CX20:CX30" ca="1" si="67">CM20*CS20</f>
        <v>0</v>
      </c>
      <c r="CY20" s="43">
        <f t="shared" ref="CY20:CY28" ca="1" si="68">CN20*CS20</f>
        <v>0</v>
      </c>
      <c r="CZ20" s="30">
        <f t="shared" ref="CZ20:CZ30" ca="1" si="69">CU20+CV20+CW20+CX20+CY20</f>
        <v>0</v>
      </c>
      <c r="DD20" s="30">
        <f t="shared" ref="DD20:DD30" ca="1" si="70">CU20</f>
        <v>0</v>
      </c>
      <c r="DE20" s="30">
        <f t="shared" ref="DE20:DE30" ca="1" si="71">CV20</f>
        <v>0</v>
      </c>
      <c r="DF20" s="30">
        <f t="shared" ref="DF20:DF30" ca="1" si="72">CW20</f>
        <v>0</v>
      </c>
      <c r="DG20" s="30">
        <f t="shared" ref="DG20:DG30" ca="1" si="73">CX20</f>
        <v>0</v>
      </c>
      <c r="DH20" s="30">
        <f t="shared" ref="DH20:DH30" ca="1" si="74">CY20</f>
        <v>0</v>
      </c>
      <c r="DI20" s="30">
        <f t="shared" ref="DI20:DI30" ca="1" si="75">DD20+DE20+DF20+DG20+DH20</f>
        <v>0</v>
      </c>
      <c r="DM20" s="30">
        <f t="shared" ca="1" si="39"/>
        <v>0</v>
      </c>
      <c r="DN20" s="30">
        <f t="shared" ca="1" si="40"/>
        <v>0</v>
      </c>
      <c r="DO20" s="30">
        <f t="shared" ca="1" si="41"/>
        <v>0</v>
      </c>
      <c r="DP20" s="30">
        <f t="shared" ca="1" si="42"/>
        <v>0</v>
      </c>
      <c r="DQ20" s="30">
        <f t="shared" ca="1" si="43"/>
        <v>0</v>
      </c>
      <c r="DR20" s="30">
        <f t="shared" ref="DR20:DR30" ca="1" si="76">DM20+DN20+DO20+DP20+DQ20</f>
        <v>0</v>
      </c>
      <c r="EI20" s="3" t="s">
        <v>1066</v>
      </c>
      <c r="EJ20" s="3">
        <v>18</v>
      </c>
      <c r="EK20" s="3"/>
    </row>
    <row r="21" spans="1:156" s="36" customFormat="1" ht="16.5" customHeight="1" x14ac:dyDescent="0.25">
      <c r="A21"/>
      <c r="B21"/>
      <c r="C21" s="153"/>
      <c r="D21" s="153"/>
      <c r="E21"/>
      <c r="F21" s="249">
        <f t="shared" ref="F21:F30" ca="1" si="77">IF(G21="jan",F20+1,F20)</f>
        <v>2021</v>
      </c>
      <c r="G21" s="249" t="str">
        <f t="shared" ca="1" si="1"/>
        <v>mars</v>
      </c>
      <c r="H21" s="3"/>
      <c r="I21" s="41">
        <f t="shared" si="44"/>
        <v>0</v>
      </c>
      <c r="J21" s="259"/>
      <c r="K21" s="2"/>
      <c r="L21" s="41">
        <f t="shared" si="2"/>
        <v>0</v>
      </c>
      <c r="M21" s="259"/>
      <c r="N21" s="2"/>
      <c r="O21" s="41">
        <f t="shared" si="3"/>
        <v>0</v>
      </c>
      <c r="P21" s="259"/>
      <c r="Q21" s="42"/>
      <c r="R21" s="42"/>
      <c r="S21" s="42"/>
      <c r="T21" s="42"/>
      <c r="U21" s="42"/>
      <c r="V21" s="42"/>
      <c r="W21"/>
      <c r="X21" s="85"/>
      <c r="Y21" s="164">
        <f t="shared" si="4"/>
        <v>0</v>
      </c>
      <c r="Z21" s="164">
        <f t="shared" si="5"/>
        <v>0</v>
      </c>
      <c r="AA21" s="164">
        <f t="shared" si="6"/>
        <v>0</v>
      </c>
      <c r="AB21" s="164">
        <f t="shared" si="7"/>
        <v>0</v>
      </c>
      <c r="AC21" s="164">
        <f t="shared" si="8"/>
        <v>0</v>
      </c>
      <c r="AD21" s="163">
        <f t="shared" si="9"/>
        <v>0</v>
      </c>
      <c r="AE21" s="236"/>
      <c r="AF21" s="85"/>
      <c r="AG21" s="164">
        <f t="shared" si="45"/>
        <v>0</v>
      </c>
      <c r="AH21" s="164">
        <f t="shared" si="10"/>
        <v>0</v>
      </c>
      <c r="AI21" s="164">
        <f t="shared" si="10"/>
        <v>0</v>
      </c>
      <c r="AJ21" s="164">
        <f t="shared" si="10"/>
        <v>0</v>
      </c>
      <c r="AK21" s="164">
        <f t="shared" si="10"/>
        <v>0</v>
      </c>
      <c r="AL21" s="163">
        <f t="shared" si="11"/>
        <v>0</v>
      </c>
      <c r="AM21" s="129"/>
      <c r="AN21" s="163">
        <f t="shared" si="46"/>
        <v>0</v>
      </c>
      <c r="AO21" s="163">
        <f t="shared" si="47"/>
        <v>0</v>
      </c>
      <c r="AP21" s="163">
        <f t="shared" si="48"/>
        <v>0</v>
      </c>
      <c r="AQ21" s="163">
        <f t="shared" si="49"/>
        <v>0</v>
      </c>
      <c r="AR21" s="163">
        <f t="shared" si="50"/>
        <v>0</v>
      </c>
      <c r="AS21" s="163">
        <f t="shared" si="51"/>
        <v>0</v>
      </c>
      <c r="AT21" s="163">
        <f t="shared" ref="AT21:AT30" si="78">IF($AN$33&gt;0,(AN21-$AN$33*(AF132+AH132+AD132))/$AN$32,0)+IF($AO$33&gt;0,(AO21-$AO$33*(AF132+AH132+AD132))/$AO$32,0)+IF($AP$33&gt;0,(AP21-$AP$33*(AF132+AH132+AD132))/$AP$32,0)+IF($AQ$33&gt;0,(AQ21-$AQ$33*(AF132+AH132+AD132))/$AQ$32,0)+IF($AR$33&gt;0,(AR21-$AR$33*(AF132+AH132+AD132))/$AR$32,0)</f>
        <v>0</v>
      </c>
      <c r="AU21" s="132">
        <f t="shared" si="52"/>
        <v>0</v>
      </c>
      <c r="AV21" s="237" t="str">
        <f t="shared" si="53"/>
        <v/>
      </c>
      <c r="AW21" s="163">
        <f t="shared" si="54"/>
        <v>0</v>
      </c>
      <c r="AX21" s="237" t="str">
        <f t="shared" si="55"/>
        <v/>
      </c>
      <c r="AY21" s="22"/>
      <c r="AZ21" s="43">
        <f t="shared" si="12"/>
        <v>0</v>
      </c>
      <c r="BA21" s="43">
        <f t="shared" si="13"/>
        <v>0</v>
      </c>
      <c r="BB21" s="43">
        <f t="shared" si="14"/>
        <v>0</v>
      </c>
      <c r="BC21" s="43">
        <f t="shared" si="15"/>
        <v>0</v>
      </c>
      <c r="BD21" s="43">
        <f t="shared" si="16"/>
        <v>0</v>
      </c>
      <c r="BE21" s="30">
        <f t="shared" si="56"/>
        <v>0</v>
      </c>
      <c r="BF21" s="22"/>
      <c r="BG21" s="16"/>
      <c r="BH21" s="22" t="str">
        <f t="shared" ca="1" si="17"/>
        <v>jan</v>
      </c>
      <c r="BI21" s="44">
        <f t="shared" ca="1" si="18"/>
        <v>1</v>
      </c>
      <c r="BJ21" s="44">
        <f t="shared" ca="1" si="19"/>
        <v>1</v>
      </c>
      <c r="BK21" s="44">
        <f t="shared" ca="1" si="20"/>
        <v>744</v>
      </c>
      <c r="BL21" s="45" t="str">
        <f t="shared" ca="1" si="21"/>
        <v>mars</v>
      </c>
      <c r="BM21" s="45">
        <f t="shared" ca="1" si="57"/>
        <v>0</v>
      </c>
      <c r="BN21" s="43">
        <f t="shared" ca="1" si="58"/>
        <v>0</v>
      </c>
      <c r="BO21" s="43">
        <f t="shared" ca="1" si="22"/>
        <v>0</v>
      </c>
      <c r="BP21" s="43">
        <f t="shared" ca="1" si="22"/>
        <v>0</v>
      </c>
      <c r="BQ21" s="43">
        <f t="shared" ca="1" si="22"/>
        <v>0</v>
      </c>
      <c r="BR21" s="43">
        <f t="shared" ca="1" si="22"/>
        <v>0</v>
      </c>
      <c r="BS21" s="30">
        <f t="shared" ca="1" si="59"/>
        <v>0</v>
      </c>
      <c r="BT21" s="46">
        <f t="shared" ca="1" si="23"/>
        <v>0</v>
      </c>
      <c r="BU21" s="46">
        <f t="shared" ca="1" si="24"/>
        <v>0</v>
      </c>
      <c r="BV21" s="46">
        <f t="shared" ca="1" si="25"/>
        <v>0</v>
      </c>
      <c r="BW21" s="46">
        <f t="shared" ca="1" si="26"/>
        <v>0</v>
      </c>
      <c r="BX21" s="46">
        <f t="shared" ca="1" si="27"/>
        <v>0</v>
      </c>
      <c r="BY21" s="46"/>
      <c r="BZ21" s="45" t="str">
        <f t="shared" ca="1" si="60"/>
        <v>mars</v>
      </c>
      <c r="CA21" s="45">
        <f t="shared" ca="1" si="61"/>
        <v>0</v>
      </c>
      <c r="CB21" s="43">
        <f t="shared" ca="1" si="28"/>
        <v>0</v>
      </c>
      <c r="CC21" s="43">
        <f t="shared" ca="1" si="29"/>
        <v>0</v>
      </c>
      <c r="CD21" s="43">
        <f t="shared" ca="1" si="30"/>
        <v>0</v>
      </c>
      <c r="CE21" s="43">
        <f t="shared" ca="1" si="31"/>
        <v>0</v>
      </c>
      <c r="CF21" s="43">
        <f t="shared" ca="1" si="32"/>
        <v>0</v>
      </c>
      <c r="CG21" s="30">
        <f t="shared" ca="1" si="62"/>
        <v>0</v>
      </c>
      <c r="CH21" s="16"/>
      <c r="CI21" s="24"/>
      <c r="CJ21" s="30">
        <f t="shared" ca="1" si="33"/>
        <v>0</v>
      </c>
      <c r="CK21" s="30">
        <f t="shared" ca="1" si="34"/>
        <v>0</v>
      </c>
      <c r="CL21" s="30">
        <f t="shared" ca="1" si="35"/>
        <v>0</v>
      </c>
      <c r="CM21" s="30">
        <f t="shared" ca="1" si="36"/>
        <v>0</v>
      </c>
      <c r="CN21" s="30">
        <f t="shared" ca="1" si="37"/>
        <v>0</v>
      </c>
      <c r="CO21" s="30">
        <f t="shared" ca="1" si="63"/>
        <v>0</v>
      </c>
      <c r="CP21" s="22"/>
      <c r="CQ21" s="32" t="str">
        <f t="shared" ca="1" si="38"/>
        <v>202103</v>
      </c>
      <c r="CR21" s="32">
        <f ca="1">MATCH(Mätvärden!CQ21,Normalår!$R$5:$R$200,0)-1</f>
        <v>74</v>
      </c>
      <c r="CS21" s="47">
        <f ca="1">OFFSET(Normalår!$S$5,CR21,0)</f>
        <v>1.1413471771576895</v>
      </c>
      <c r="CT21" s="16"/>
      <c r="CU21" s="43">
        <f t="shared" ca="1" si="64"/>
        <v>0</v>
      </c>
      <c r="CV21" s="43">
        <f t="shared" ca="1" si="65"/>
        <v>0</v>
      </c>
      <c r="CW21" s="43">
        <f t="shared" ca="1" si="66"/>
        <v>0</v>
      </c>
      <c r="CX21" s="43">
        <f t="shared" ca="1" si="67"/>
        <v>0</v>
      </c>
      <c r="CY21" s="43">
        <f t="shared" ca="1" si="68"/>
        <v>0</v>
      </c>
      <c r="CZ21" s="30">
        <f t="shared" ca="1" si="69"/>
        <v>0</v>
      </c>
      <c r="DA21" s="16"/>
      <c r="DB21" s="16"/>
      <c r="DC21" s="16"/>
      <c r="DD21" s="30">
        <f t="shared" ca="1" si="70"/>
        <v>0</v>
      </c>
      <c r="DE21" s="30">
        <f t="shared" ca="1" si="71"/>
        <v>0</v>
      </c>
      <c r="DF21" s="30">
        <f t="shared" ca="1" si="72"/>
        <v>0</v>
      </c>
      <c r="DG21" s="30">
        <f t="shared" ca="1" si="73"/>
        <v>0</v>
      </c>
      <c r="DH21" s="30">
        <f t="shared" ca="1" si="74"/>
        <v>0</v>
      </c>
      <c r="DI21" s="30">
        <f t="shared" ca="1" si="75"/>
        <v>0</v>
      </c>
      <c r="DJ21" s="16"/>
      <c r="DK21" s="16"/>
      <c r="DL21" s="16"/>
      <c r="DM21" s="30">
        <f t="shared" ca="1" si="39"/>
        <v>0</v>
      </c>
      <c r="DN21" s="30">
        <f t="shared" ca="1" si="40"/>
        <v>0</v>
      </c>
      <c r="DO21" s="30">
        <f t="shared" ca="1" si="41"/>
        <v>0</v>
      </c>
      <c r="DP21" s="30">
        <f t="shared" ca="1" si="42"/>
        <v>0</v>
      </c>
      <c r="DQ21" s="30">
        <f t="shared" ca="1" si="43"/>
        <v>0</v>
      </c>
      <c r="DR21" s="30">
        <f t="shared" ca="1" si="76"/>
        <v>0</v>
      </c>
      <c r="DS21" s="16"/>
      <c r="DT21" s="16"/>
      <c r="DU21"/>
      <c r="DV21"/>
      <c r="DW21"/>
      <c r="DX21"/>
      <c r="DY21"/>
      <c r="DZ21"/>
      <c r="EA21"/>
      <c r="EB21"/>
      <c r="EC21"/>
      <c r="ED21"/>
      <c r="EE21"/>
      <c r="EF21"/>
      <c r="EG21"/>
      <c r="EH21"/>
      <c r="EI21" s="3" t="s">
        <v>1067</v>
      </c>
      <c r="EJ21" s="3">
        <v>19</v>
      </c>
      <c r="EK21" s="3"/>
      <c r="EL21"/>
      <c r="EM21"/>
      <c r="EN21"/>
      <c r="EO21"/>
      <c r="EP21"/>
      <c r="EQ21"/>
      <c r="ER21"/>
      <c r="ES21"/>
      <c r="ET21"/>
      <c r="EU21"/>
      <c r="EV21"/>
      <c r="EW21"/>
      <c r="EX21"/>
      <c r="EY21"/>
      <c r="EZ21"/>
    </row>
    <row r="22" spans="1:156" ht="16.5" customHeight="1" x14ac:dyDescent="0.25">
      <c r="F22" s="249">
        <f t="shared" ca="1" si="77"/>
        <v>2021</v>
      </c>
      <c r="G22" s="249" t="str">
        <f t="shared" ca="1" si="1"/>
        <v>apr</v>
      </c>
      <c r="H22" s="3"/>
      <c r="I22" s="41">
        <f t="shared" si="44"/>
        <v>0</v>
      </c>
      <c r="J22" s="259"/>
      <c r="K22" s="2"/>
      <c r="L22" s="41">
        <f t="shared" si="2"/>
        <v>0</v>
      </c>
      <c r="M22" s="259"/>
      <c r="N22" s="2"/>
      <c r="O22" s="41">
        <f t="shared" si="3"/>
        <v>0</v>
      </c>
      <c r="P22" s="259"/>
      <c r="Q22" s="42"/>
      <c r="R22" s="42"/>
      <c r="S22" s="42"/>
      <c r="T22" s="42"/>
      <c r="U22" s="42"/>
      <c r="V22" s="42"/>
      <c r="Y22" s="164">
        <f t="shared" si="4"/>
        <v>0</v>
      </c>
      <c r="Z22" s="164">
        <f t="shared" si="5"/>
        <v>0</v>
      </c>
      <c r="AA22" s="164">
        <f t="shared" si="6"/>
        <v>0</v>
      </c>
      <c r="AB22" s="164">
        <f t="shared" si="7"/>
        <v>0</v>
      </c>
      <c r="AC22" s="164">
        <f t="shared" si="8"/>
        <v>0</v>
      </c>
      <c r="AD22" s="163">
        <f t="shared" si="9"/>
        <v>0</v>
      </c>
      <c r="AE22" s="236"/>
      <c r="AG22" s="164">
        <f t="shared" si="45"/>
        <v>0</v>
      </c>
      <c r="AH22" s="164">
        <f t="shared" si="10"/>
        <v>0</v>
      </c>
      <c r="AI22" s="164">
        <f t="shared" si="10"/>
        <v>0</v>
      </c>
      <c r="AJ22" s="164">
        <f t="shared" si="10"/>
        <v>0</v>
      </c>
      <c r="AK22" s="164">
        <f t="shared" si="10"/>
        <v>0</v>
      </c>
      <c r="AL22" s="163">
        <f t="shared" si="11"/>
        <v>0</v>
      </c>
      <c r="AM22" s="129"/>
      <c r="AN22" s="163">
        <f t="shared" si="46"/>
        <v>0</v>
      </c>
      <c r="AO22" s="163">
        <f t="shared" si="47"/>
        <v>0</v>
      </c>
      <c r="AP22" s="163">
        <f t="shared" si="48"/>
        <v>0</v>
      </c>
      <c r="AQ22" s="163">
        <f t="shared" si="49"/>
        <v>0</v>
      </c>
      <c r="AR22" s="163">
        <f t="shared" si="50"/>
        <v>0</v>
      </c>
      <c r="AS22" s="163">
        <f t="shared" si="51"/>
        <v>0</v>
      </c>
      <c r="AT22" s="163">
        <f t="shared" si="78"/>
        <v>0</v>
      </c>
      <c r="AU22" s="132">
        <f t="shared" si="52"/>
        <v>0</v>
      </c>
      <c r="AV22" s="237" t="str">
        <f t="shared" si="53"/>
        <v/>
      </c>
      <c r="AW22" s="163">
        <f t="shared" si="54"/>
        <v>0</v>
      </c>
      <c r="AX22" s="237" t="str">
        <f t="shared" si="55"/>
        <v/>
      </c>
      <c r="AY22" s="22"/>
      <c r="AZ22" s="43">
        <f t="shared" si="12"/>
        <v>0</v>
      </c>
      <c r="BA22" s="43">
        <f t="shared" si="13"/>
        <v>0</v>
      </c>
      <c r="BB22" s="43">
        <f t="shared" si="14"/>
        <v>0</v>
      </c>
      <c r="BC22" s="43">
        <f t="shared" si="15"/>
        <v>0</v>
      </c>
      <c r="BD22" s="43">
        <f t="shared" si="16"/>
        <v>0</v>
      </c>
      <c r="BE22" s="30">
        <f t="shared" si="56"/>
        <v>0</v>
      </c>
      <c r="BF22" s="22"/>
      <c r="BH22" s="22" t="str">
        <f t="shared" ca="1" si="17"/>
        <v>feb</v>
      </c>
      <c r="BI22" s="44">
        <f t="shared" ca="1" si="18"/>
        <v>2</v>
      </c>
      <c r="BJ22" s="44">
        <f t="shared" ca="1" si="19"/>
        <v>1</v>
      </c>
      <c r="BK22" s="44">
        <f t="shared" ca="1" si="20"/>
        <v>672</v>
      </c>
      <c r="BL22" s="45" t="str">
        <f t="shared" ca="1" si="21"/>
        <v>apr</v>
      </c>
      <c r="BM22" s="45">
        <f t="shared" ca="1" si="57"/>
        <v>0</v>
      </c>
      <c r="BN22" s="43">
        <f t="shared" ca="1" si="58"/>
        <v>0</v>
      </c>
      <c r="BO22" s="43">
        <f t="shared" ca="1" si="22"/>
        <v>0</v>
      </c>
      <c r="BP22" s="43">
        <f t="shared" ca="1" si="22"/>
        <v>0</v>
      </c>
      <c r="BQ22" s="43">
        <f t="shared" ca="1" si="22"/>
        <v>0</v>
      </c>
      <c r="BR22" s="43">
        <f t="shared" ca="1" si="22"/>
        <v>0</v>
      </c>
      <c r="BS22" s="30">
        <f t="shared" ca="1" si="59"/>
        <v>0</v>
      </c>
      <c r="BT22" s="46">
        <f t="shared" ca="1" si="23"/>
        <v>0</v>
      </c>
      <c r="BU22" s="46">
        <f t="shared" ca="1" si="24"/>
        <v>0</v>
      </c>
      <c r="BV22" s="46">
        <f t="shared" ca="1" si="25"/>
        <v>0</v>
      </c>
      <c r="BW22" s="46">
        <f t="shared" ca="1" si="26"/>
        <v>0</v>
      </c>
      <c r="BX22" s="46">
        <f t="shared" ca="1" si="27"/>
        <v>0</v>
      </c>
      <c r="BY22" s="46"/>
      <c r="BZ22" s="45" t="str">
        <f t="shared" ca="1" si="60"/>
        <v>apr</v>
      </c>
      <c r="CA22" s="45">
        <f t="shared" ca="1" si="61"/>
        <v>0</v>
      </c>
      <c r="CB22" s="43">
        <f t="shared" ca="1" si="28"/>
        <v>0</v>
      </c>
      <c r="CC22" s="43">
        <f t="shared" ca="1" si="29"/>
        <v>0</v>
      </c>
      <c r="CD22" s="43">
        <f t="shared" ca="1" si="30"/>
        <v>0</v>
      </c>
      <c r="CE22" s="43">
        <f t="shared" ca="1" si="31"/>
        <v>0</v>
      </c>
      <c r="CF22" s="43">
        <f t="shared" ca="1" si="32"/>
        <v>0</v>
      </c>
      <c r="CG22" s="30">
        <f t="shared" ca="1" si="62"/>
        <v>0</v>
      </c>
      <c r="CI22" s="24"/>
      <c r="CJ22" s="30">
        <f t="shared" ca="1" si="33"/>
        <v>0</v>
      </c>
      <c r="CK22" s="30">
        <f t="shared" ca="1" si="34"/>
        <v>0</v>
      </c>
      <c r="CL22" s="30">
        <f t="shared" ca="1" si="35"/>
        <v>0</v>
      </c>
      <c r="CM22" s="30">
        <f t="shared" ca="1" si="36"/>
        <v>0</v>
      </c>
      <c r="CN22" s="30">
        <f t="shared" ca="1" si="37"/>
        <v>0</v>
      </c>
      <c r="CO22" s="30">
        <f t="shared" ca="1" si="63"/>
        <v>0</v>
      </c>
      <c r="CP22" s="22"/>
      <c r="CQ22" s="32" t="str">
        <f t="shared" ca="1" si="38"/>
        <v>202104</v>
      </c>
      <c r="CR22" s="32">
        <f ca="1">MATCH(Mätvärden!CQ22,Normalår!$R$5:$R$200,0)-1</f>
        <v>75</v>
      </c>
      <c r="CS22" s="47">
        <f ca="1">OFFSET(Normalår!$S$5,CR22,0)</f>
        <v>0.95586587287690417</v>
      </c>
      <c r="CU22" s="43">
        <f t="shared" ca="1" si="64"/>
        <v>0</v>
      </c>
      <c r="CV22" s="43">
        <f t="shared" ca="1" si="65"/>
        <v>0</v>
      </c>
      <c r="CW22" s="43">
        <f t="shared" ca="1" si="66"/>
        <v>0</v>
      </c>
      <c r="CX22" s="43">
        <f t="shared" ca="1" si="67"/>
        <v>0</v>
      </c>
      <c r="CY22" s="43">
        <f t="shared" ca="1" si="68"/>
        <v>0</v>
      </c>
      <c r="CZ22" s="30">
        <f t="shared" ca="1" si="69"/>
        <v>0</v>
      </c>
      <c r="DB22" s="48"/>
      <c r="DD22" s="30">
        <f t="shared" ca="1" si="70"/>
        <v>0</v>
      </c>
      <c r="DE22" s="30">
        <f t="shared" ca="1" si="71"/>
        <v>0</v>
      </c>
      <c r="DF22" s="30">
        <f t="shared" ca="1" si="72"/>
        <v>0</v>
      </c>
      <c r="DG22" s="30">
        <f t="shared" ca="1" si="73"/>
        <v>0</v>
      </c>
      <c r="DH22" s="30">
        <f t="shared" ca="1" si="74"/>
        <v>0</v>
      </c>
      <c r="DI22" s="30">
        <f t="shared" ca="1" si="75"/>
        <v>0</v>
      </c>
      <c r="DM22" s="30">
        <f t="shared" ca="1" si="39"/>
        <v>0</v>
      </c>
      <c r="DN22" s="30">
        <f t="shared" ca="1" si="40"/>
        <v>0</v>
      </c>
      <c r="DO22" s="30">
        <f t="shared" ca="1" si="41"/>
        <v>0</v>
      </c>
      <c r="DP22" s="30">
        <f t="shared" ca="1" si="42"/>
        <v>0</v>
      </c>
      <c r="DQ22" s="30">
        <f t="shared" ca="1" si="43"/>
        <v>0</v>
      </c>
      <c r="DR22" s="30">
        <f t="shared" ca="1" si="76"/>
        <v>0</v>
      </c>
      <c r="EI22" s="3" t="s">
        <v>1068</v>
      </c>
      <c r="EJ22" s="3">
        <v>20</v>
      </c>
      <c r="EK22" s="3"/>
    </row>
    <row r="23" spans="1:156" ht="16.5" customHeight="1" x14ac:dyDescent="0.25">
      <c r="F23" s="249">
        <f t="shared" ca="1" si="77"/>
        <v>2021</v>
      </c>
      <c r="G23" s="249" t="str">
        <f t="shared" ca="1" si="1"/>
        <v>maj</v>
      </c>
      <c r="H23" s="3"/>
      <c r="I23" s="41">
        <f t="shared" si="44"/>
        <v>0</v>
      </c>
      <c r="J23" s="259"/>
      <c r="K23" s="2"/>
      <c r="L23" s="41">
        <f t="shared" si="2"/>
        <v>0</v>
      </c>
      <c r="M23" s="259"/>
      <c r="N23" s="2"/>
      <c r="O23" s="41">
        <f t="shared" si="3"/>
        <v>0</v>
      </c>
      <c r="P23" s="259"/>
      <c r="Q23" s="42"/>
      <c r="R23" s="42"/>
      <c r="S23" s="42"/>
      <c r="T23" s="42"/>
      <c r="U23" s="42"/>
      <c r="V23" s="42"/>
      <c r="Y23" s="164">
        <f t="shared" si="4"/>
        <v>0</v>
      </c>
      <c r="Z23" s="164">
        <f t="shared" si="5"/>
        <v>0</v>
      </c>
      <c r="AA23" s="164">
        <f t="shared" si="6"/>
        <v>0</v>
      </c>
      <c r="AB23" s="164">
        <f t="shared" si="7"/>
        <v>0</v>
      </c>
      <c r="AC23" s="164">
        <f t="shared" si="8"/>
        <v>0</v>
      </c>
      <c r="AD23" s="163">
        <f t="shared" si="9"/>
        <v>0</v>
      </c>
      <c r="AE23" s="236"/>
      <c r="AG23" s="164">
        <f t="shared" si="45"/>
        <v>0</v>
      </c>
      <c r="AH23" s="164">
        <f t="shared" si="10"/>
        <v>0</v>
      </c>
      <c r="AI23" s="164">
        <f t="shared" si="10"/>
        <v>0</v>
      </c>
      <c r="AJ23" s="164">
        <f t="shared" si="10"/>
        <v>0</v>
      </c>
      <c r="AK23" s="164">
        <f t="shared" si="10"/>
        <v>0</v>
      </c>
      <c r="AL23" s="163">
        <f t="shared" si="11"/>
        <v>0</v>
      </c>
      <c r="AM23" s="129"/>
      <c r="AN23" s="163">
        <f t="shared" si="46"/>
        <v>0</v>
      </c>
      <c r="AO23" s="163">
        <f t="shared" si="47"/>
        <v>0</v>
      </c>
      <c r="AP23" s="163">
        <f t="shared" si="48"/>
        <v>0</v>
      </c>
      <c r="AQ23" s="163">
        <f t="shared" si="49"/>
        <v>0</v>
      </c>
      <c r="AR23" s="163">
        <f t="shared" si="50"/>
        <v>0</v>
      </c>
      <c r="AS23" s="163">
        <f t="shared" si="51"/>
        <v>0</v>
      </c>
      <c r="AT23" s="163">
        <f t="shared" si="78"/>
        <v>0</v>
      </c>
      <c r="AU23" s="132">
        <f t="shared" si="52"/>
        <v>0</v>
      </c>
      <c r="AV23" s="237" t="str">
        <f t="shared" si="53"/>
        <v/>
      </c>
      <c r="AW23" s="163">
        <f t="shared" si="54"/>
        <v>0</v>
      </c>
      <c r="AX23" s="237" t="str">
        <f t="shared" si="55"/>
        <v/>
      </c>
      <c r="AY23" s="22"/>
      <c r="AZ23" s="43">
        <f t="shared" si="12"/>
        <v>0</v>
      </c>
      <c r="BA23" s="43">
        <f t="shared" si="13"/>
        <v>0</v>
      </c>
      <c r="BB23" s="43">
        <f t="shared" si="14"/>
        <v>0</v>
      </c>
      <c r="BC23" s="43">
        <f t="shared" si="15"/>
        <v>0</v>
      </c>
      <c r="BD23" s="43">
        <f t="shared" si="16"/>
        <v>0</v>
      </c>
      <c r="BE23" s="30">
        <f t="shared" si="56"/>
        <v>0</v>
      </c>
      <c r="BF23" s="22"/>
      <c r="BH23" s="22" t="str">
        <f t="shared" ca="1" si="17"/>
        <v>mars</v>
      </c>
      <c r="BI23" s="44">
        <f t="shared" ca="1" si="18"/>
        <v>3</v>
      </c>
      <c r="BJ23" s="44">
        <f t="shared" ca="1" si="19"/>
        <v>0</v>
      </c>
      <c r="BK23" s="44">
        <f t="shared" ca="1" si="20"/>
        <v>0</v>
      </c>
      <c r="BL23" s="45" t="str">
        <f t="shared" ca="1" si="21"/>
        <v>maj</v>
      </c>
      <c r="BM23" s="45">
        <f t="shared" ca="1" si="57"/>
        <v>0</v>
      </c>
      <c r="BN23" s="43">
        <f t="shared" ca="1" si="58"/>
        <v>0</v>
      </c>
      <c r="BO23" s="43">
        <f t="shared" ca="1" si="22"/>
        <v>0</v>
      </c>
      <c r="BP23" s="43">
        <f t="shared" ca="1" si="22"/>
        <v>0</v>
      </c>
      <c r="BQ23" s="43">
        <f t="shared" ca="1" si="22"/>
        <v>0</v>
      </c>
      <c r="BR23" s="43">
        <f t="shared" ca="1" si="22"/>
        <v>0</v>
      </c>
      <c r="BS23" s="30">
        <f t="shared" ca="1" si="59"/>
        <v>0</v>
      </c>
      <c r="BT23" s="46">
        <f t="shared" ca="1" si="23"/>
        <v>0</v>
      </c>
      <c r="BU23" s="46">
        <f t="shared" ca="1" si="24"/>
        <v>0</v>
      </c>
      <c r="BV23" s="46">
        <f t="shared" ca="1" si="25"/>
        <v>0</v>
      </c>
      <c r="BW23" s="46">
        <f t="shared" ca="1" si="26"/>
        <v>0</v>
      </c>
      <c r="BX23" s="46">
        <f t="shared" ca="1" si="27"/>
        <v>0</v>
      </c>
      <c r="BY23" s="46"/>
      <c r="BZ23" s="45" t="str">
        <f t="shared" ca="1" si="60"/>
        <v>maj</v>
      </c>
      <c r="CA23" s="45">
        <f t="shared" ca="1" si="61"/>
        <v>0</v>
      </c>
      <c r="CB23" s="43">
        <f t="shared" ca="1" si="28"/>
        <v>0</v>
      </c>
      <c r="CC23" s="43">
        <f t="shared" ca="1" si="29"/>
        <v>0</v>
      </c>
      <c r="CD23" s="43">
        <f t="shared" ca="1" si="30"/>
        <v>0</v>
      </c>
      <c r="CE23" s="43">
        <f t="shared" ca="1" si="31"/>
        <v>0</v>
      </c>
      <c r="CF23" s="43">
        <f t="shared" ca="1" si="32"/>
        <v>0</v>
      </c>
      <c r="CG23" s="30">
        <f t="shared" ca="1" si="62"/>
        <v>0</v>
      </c>
      <c r="CI23" s="24"/>
      <c r="CJ23" s="30">
        <f t="shared" ca="1" si="33"/>
        <v>0</v>
      </c>
      <c r="CK23" s="30">
        <f t="shared" ca="1" si="34"/>
        <v>0</v>
      </c>
      <c r="CL23" s="30">
        <f t="shared" ca="1" si="35"/>
        <v>0</v>
      </c>
      <c r="CM23" s="30">
        <f t="shared" ca="1" si="36"/>
        <v>0</v>
      </c>
      <c r="CN23" s="30">
        <f t="shared" ca="1" si="37"/>
        <v>0</v>
      </c>
      <c r="CO23" s="30">
        <f t="shared" ca="1" si="63"/>
        <v>0</v>
      </c>
      <c r="CP23" s="22"/>
      <c r="CQ23" s="32" t="str">
        <f t="shared" ca="1" si="38"/>
        <v>202105</v>
      </c>
      <c r="CR23" s="32">
        <f ca="1">MATCH(Mätvärden!CQ23,Normalår!$R$5:$R$200,0)-1</f>
        <v>76</v>
      </c>
      <c r="CS23" s="47">
        <f ca="1">OFFSET(Normalår!$S$5,CR23,0)</f>
        <v>1.0516043107997004</v>
      </c>
      <c r="CU23" s="43">
        <f t="shared" ca="1" si="64"/>
        <v>0</v>
      </c>
      <c r="CV23" s="43">
        <f t="shared" ca="1" si="65"/>
        <v>0</v>
      </c>
      <c r="CW23" s="43">
        <f t="shared" ca="1" si="66"/>
        <v>0</v>
      </c>
      <c r="CX23" s="43">
        <f t="shared" ca="1" si="67"/>
        <v>0</v>
      </c>
      <c r="CY23" s="43">
        <f t="shared" ca="1" si="68"/>
        <v>0</v>
      </c>
      <c r="CZ23" s="30">
        <f t="shared" ca="1" si="69"/>
        <v>0</v>
      </c>
      <c r="DB23" s="48"/>
      <c r="DD23" s="30">
        <f t="shared" ca="1" si="70"/>
        <v>0</v>
      </c>
      <c r="DE23" s="30">
        <f t="shared" ca="1" si="71"/>
        <v>0</v>
      </c>
      <c r="DF23" s="30">
        <f t="shared" ca="1" si="72"/>
        <v>0</v>
      </c>
      <c r="DG23" s="30">
        <f t="shared" ca="1" si="73"/>
        <v>0</v>
      </c>
      <c r="DH23" s="30">
        <f t="shared" ca="1" si="74"/>
        <v>0</v>
      </c>
      <c r="DI23" s="30">
        <f t="shared" ca="1" si="75"/>
        <v>0</v>
      </c>
      <c r="DM23" s="30">
        <f t="shared" ca="1" si="39"/>
        <v>0</v>
      </c>
      <c r="DN23" s="30">
        <f t="shared" ca="1" si="40"/>
        <v>0</v>
      </c>
      <c r="DO23" s="30">
        <f t="shared" ca="1" si="41"/>
        <v>0</v>
      </c>
      <c r="DP23" s="30">
        <f t="shared" ca="1" si="42"/>
        <v>0</v>
      </c>
      <c r="DQ23" s="30">
        <f t="shared" ca="1" si="43"/>
        <v>0</v>
      </c>
      <c r="DR23" s="30">
        <f t="shared" ca="1" si="76"/>
        <v>0</v>
      </c>
      <c r="DU23" s="36"/>
      <c r="DV23" s="36"/>
      <c r="DW23" s="36"/>
      <c r="DX23" s="36"/>
      <c r="DY23" s="36"/>
      <c r="DZ23" s="36"/>
      <c r="EA23" s="36"/>
      <c r="EB23" s="36"/>
      <c r="EC23" s="36"/>
      <c r="ED23" s="36"/>
      <c r="EE23" s="36"/>
      <c r="EF23" s="36"/>
      <c r="EG23" s="36"/>
      <c r="EH23" s="36"/>
      <c r="EI23" s="37" t="s">
        <v>1069</v>
      </c>
      <c r="EJ23" s="37">
        <v>21</v>
      </c>
      <c r="EK23" s="37"/>
      <c r="EL23" s="36"/>
      <c r="EM23" s="36"/>
      <c r="EN23" s="36"/>
      <c r="EO23" s="36"/>
      <c r="EP23" s="36"/>
      <c r="EQ23" s="36"/>
      <c r="ER23" s="36"/>
      <c r="ES23" s="36"/>
      <c r="ET23" s="36"/>
      <c r="EU23" s="36"/>
      <c r="EV23" s="36"/>
      <c r="EW23" s="36"/>
      <c r="EX23" s="36"/>
      <c r="EY23" s="36"/>
      <c r="EZ23" s="36"/>
    </row>
    <row r="24" spans="1:156" ht="16.5" customHeight="1" x14ac:dyDescent="0.25">
      <c r="F24" s="249">
        <f t="shared" ca="1" si="77"/>
        <v>2021</v>
      </c>
      <c r="G24" s="249" t="str">
        <f t="shared" ca="1" si="1"/>
        <v xml:space="preserve">jun </v>
      </c>
      <c r="H24" s="3"/>
      <c r="I24" s="41">
        <f t="shared" si="44"/>
        <v>0</v>
      </c>
      <c r="J24" s="259"/>
      <c r="K24" s="2"/>
      <c r="L24" s="41">
        <f t="shared" si="2"/>
        <v>0</v>
      </c>
      <c r="M24" s="259"/>
      <c r="N24" s="2"/>
      <c r="O24" s="41">
        <f t="shared" si="3"/>
        <v>0</v>
      </c>
      <c r="P24" s="259"/>
      <c r="Q24" s="42"/>
      <c r="R24" s="42"/>
      <c r="S24" s="42"/>
      <c r="T24" s="42"/>
      <c r="U24" s="42"/>
      <c r="V24" s="42"/>
      <c r="Y24" s="164">
        <f t="shared" si="4"/>
        <v>0</v>
      </c>
      <c r="Z24" s="164">
        <f t="shared" si="5"/>
        <v>0</v>
      </c>
      <c r="AA24" s="164">
        <f t="shared" si="6"/>
        <v>0</v>
      </c>
      <c r="AB24" s="164">
        <f t="shared" si="7"/>
        <v>0</v>
      </c>
      <c r="AC24" s="164">
        <f t="shared" si="8"/>
        <v>0</v>
      </c>
      <c r="AD24" s="163">
        <f t="shared" si="9"/>
        <v>0</v>
      </c>
      <c r="AE24" s="236"/>
      <c r="AG24" s="164">
        <f t="shared" si="45"/>
        <v>0</v>
      </c>
      <c r="AH24" s="164">
        <f t="shared" si="10"/>
        <v>0</v>
      </c>
      <c r="AI24" s="164">
        <f t="shared" si="10"/>
        <v>0</v>
      </c>
      <c r="AJ24" s="164">
        <f t="shared" si="10"/>
        <v>0</v>
      </c>
      <c r="AK24" s="164">
        <f t="shared" si="10"/>
        <v>0</v>
      </c>
      <c r="AL24" s="163">
        <f t="shared" si="11"/>
        <v>0</v>
      </c>
      <c r="AM24" s="129"/>
      <c r="AN24" s="163">
        <f t="shared" si="46"/>
        <v>0</v>
      </c>
      <c r="AO24" s="163">
        <f t="shared" si="47"/>
        <v>0</v>
      </c>
      <c r="AP24" s="163">
        <f t="shared" si="48"/>
        <v>0</v>
      </c>
      <c r="AQ24" s="163">
        <f t="shared" si="49"/>
        <v>0</v>
      </c>
      <c r="AR24" s="163">
        <f t="shared" si="50"/>
        <v>0</v>
      </c>
      <c r="AS24" s="163">
        <f t="shared" si="51"/>
        <v>0</v>
      </c>
      <c r="AT24" s="163">
        <f t="shared" si="78"/>
        <v>0</v>
      </c>
      <c r="AU24" s="132">
        <f t="shared" si="52"/>
        <v>0</v>
      </c>
      <c r="AV24" s="237" t="str">
        <f t="shared" si="53"/>
        <v/>
      </c>
      <c r="AW24" s="163">
        <f t="shared" si="54"/>
        <v>0</v>
      </c>
      <c r="AX24" s="237" t="str">
        <f t="shared" si="55"/>
        <v/>
      </c>
      <c r="AY24" s="22"/>
      <c r="AZ24" s="43">
        <f t="shared" si="12"/>
        <v>0</v>
      </c>
      <c r="BA24" s="43">
        <f t="shared" si="13"/>
        <v>0</v>
      </c>
      <c r="BB24" s="43">
        <f t="shared" si="14"/>
        <v>0</v>
      </c>
      <c r="BC24" s="43">
        <f t="shared" si="15"/>
        <v>0</v>
      </c>
      <c r="BD24" s="43">
        <f t="shared" si="16"/>
        <v>0</v>
      </c>
      <c r="BE24" s="30">
        <f t="shared" si="56"/>
        <v>0</v>
      </c>
      <c r="BF24" s="22"/>
      <c r="BH24" s="22" t="str">
        <f t="shared" ca="1" si="17"/>
        <v>apr</v>
      </c>
      <c r="BI24" s="44">
        <f t="shared" ca="1" si="18"/>
        <v>4</v>
      </c>
      <c r="BJ24" s="44">
        <f t="shared" ca="1" si="19"/>
        <v>0</v>
      </c>
      <c r="BK24" s="44">
        <f t="shared" ca="1" si="20"/>
        <v>0</v>
      </c>
      <c r="BL24" s="45" t="str">
        <f t="shared" ca="1" si="21"/>
        <v xml:space="preserve">jun </v>
      </c>
      <c r="BM24" s="45">
        <f t="shared" ca="1" si="57"/>
        <v>0</v>
      </c>
      <c r="BN24" s="43">
        <f t="shared" ca="1" si="58"/>
        <v>0</v>
      </c>
      <c r="BO24" s="43">
        <f t="shared" ca="1" si="22"/>
        <v>0</v>
      </c>
      <c r="BP24" s="43">
        <f t="shared" ca="1" si="22"/>
        <v>0</v>
      </c>
      <c r="BQ24" s="43">
        <f t="shared" ca="1" si="22"/>
        <v>0</v>
      </c>
      <c r="BR24" s="43">
        <f t="shared" ca="1" si="22"/>
        <v>0</v>
      </c>
      <c r="BS24" s="30">
        <f t="shared" ca="1" si="59"/>
        <v>0</v>
      </c>
      <c r="BT24" s="46">
        <f t="shared" ca="1" si="23"/>
        <v>0</v>
      </c>
      <c r="BU24" s="46">
        <f t="shared" ca="1" si="24"/>
        <v>0</v>
      </c>
      <c r="BV24" s="46">
        <f t="shared" ca="1" si="25"/>
        <v>0</v>
      </c>
      <c r="BW24" s="46">
        <f t="shared" ca="1" si="26"/>
        <v>0</v>
      </c>
      <c r="BX24" s="46">
        <f t="shared" ca="1" si="27"/>
        <v>0</v>
      </c>
      <c r="BY24" s="46"/>
      <c r="BZ24" s="45" t="str">
        <f t="shared" ca="1" si="60"/>
        <v xml:space="preserve">jun </v>
      </c>
      <c r="CA24" s="45">
        <f t="shared" ca="1" si="61"/>
        <v>0</v>
      </c>
      <c r="CB24" s="43">
        <f t="shared" ca="1" si="28"/>
        <v>0</v>
      </c>
      <c r="CC24" s="43">
        <f t="shared" ca="1" si="29"/>
        <v>0</v>
      </c>
      <c r="CD24" s="43">
        <f t="shared" ca="1" si="30"/>
        <v>0</v>
      </c>
      <c r="CE24" s="43">
        <f t="shared" ca="1" si="31"/>
        <v>0</v>
      </c>
      <c r="CF24" s="43">
        <f t="shared" ca="1" si="32"/>
        <v>0</v>
      </c>
      <c r="CG24" s="30">
        <f t="shared" ca="1" si="62"/>
        <v>0</v>
      </c>
      <c r="CI24" s="24"/>
      <c r="CJ24" s="30">
        <f t="shared" ca="1" si="33"/>
        <v>0</v>
      </c>
      <c r="CK24" s="30">
        <f t="shared" ca="1" si="34"/>
        <v>0</v>
      </c>
      <c r="CL24" s="30">
        <f t="shared" ca="1" si="35"/>
        <v>0</v>
      </c>
      <c r="CM24" s="30">
        <f t="shared" ca="1" si="36"/>
        <v>0</v>
      </c>
      <c r="CN24" s="30">
        <f t="shared" ca="1" si="37"/>
        <v>0</v>
      </c>
      <c r="CO24" s="30">
        <f t="shared" ca="1" si="63"/>
        <v>0</v>
      </c>
      <c r="CP24" s="22"/>
      <c r="CQ24" s="32" t="str">
        <f t="shared" ca="1" si="38"/>
        <v>202106</v>
      </c>
      <c r="CR24" s="32">
        <f ca="1">MATCH(Mätvärden!CQ24,Normalår!$R$5:$R$200,0)-1</f>
        <v>77</v>
      </c>
      <c r="CS24" s="47">
        <f ca="1">OFFSET(Normalår!$S$5,CR24,0)</f>
        <v>1.0516043107997004</v>
      </c>
      <c r="CU24" s="43">
        <f t="shared" ca="1" si="64"/>
        <v>0</v>
      </c>
      <c r="CV24" s="43">
        <f t="shared" ca="1" si="65"/>
        <v>0</v>
      </c>
      <c r="CW24" s="43">
        <f t="shared" ca="1" si="66"/>
        <v>0</v>
      </c>
      <c r="CX24" s="43">
        <f t="shared" ca="1" si="67"/>
        <v>0</v>
      </c>
      <c r="CY24" s="43">
        <f ca="1">CN24*CS24</f>
        <v>0</v>
      </c>
      <c r="CZ24" s="30">
        <f t="shared" ca="1" si="69"/>
        <v>0</v>
      </c>
      <c r="DB24" s="48"/>
      <c r="DD24" s="30">
        <f t="shared" ca="1" si="70"/>
        <v>0</v>
      </c>
      <c r="DE24" s="30">
        <f t="shared" ca="1" si="71"/>
        <v>0</v>
      </c>
      <c r="DF24" s="30">
        <f t="shared" ca="1" si="72"/>
        <v>0</v>
      </c>
      <c r="DG24" s="30">
        <f t="shared" ca="1" si="73"/>
        <v>0</v>
      </c>
      <c r="DH24" s="30">
        <f t="shared" ca="1" si="74"/>
        <v>0</v>
      </c>
      <c r="DI24" s="30">
        <f t="shared" ca="1" si="75"/>
        <v>0</v>
      </c>
      <c r="DM24" s="30">
        <f t="shared" ca="1" si="39"/>
        <v>0</v>
      </c>
      <c r="DN24" s="30">
        <f t="shared" ca="1" si="40"/>
        <v>0</v>
      </c>
      <c r="DO24" s="30">
        <f t="shared" ca="1" si="41"/>
        <v>0</v>
      </c>
      <c r="DP24" s="30">
        <f t="shared" ca="1" si="42"/>
        <v>0</v>
      </c>
      <c r="DQ24" s="30">
        <f t="shared" ca="1" si="43"/>
        <v>0</v>
      </c>
      <c r="DR24" s="30">
        <f t="shared" ca="1" si="76"/>
        <v>0</v>
      </c>
      <c r="EI24" s="3" t="s">
        <v>1070</v>
      </c>
      <c r="EJ24" s="3">
        <v>22</v>
      </c>
      <c r="EK24" s="3"/>
    </row>
    <row r="25" spans="1:156" ht="16.5" customHeight="1" x14ac:dyDescent="0.25">
      <c r="F25" s="249">
        <f t="shared" ca="1" si="77"/>
        <v>2021</v>
      </c>
      <c r="G25" s="249" t="str">
        <f t="shared" ca="1" si="1"/>
        <v>jul</v>
      </c>
      <c r="H25" s="3"/>
      <c r="I25" s="41">
        <f t="shared" si="44"/>
        <v>0</v>
      </c>
      <c r="J25" s="259"/>
      <c r="K25" s="2"/>
      <c r="L25" s="41">
        <f t="shared" si="2"/>
        <v>0</v>
      </c>
      <c r="M25" s="259"/>
      <c r="N25" s="2"/>
      <c r="O25" s="41">
        <f t="shared" si="3"/>
        <v>0</v>
      </c>
      <c r="P25" s="259"/>
      <c r="Q25" s="42"/>
      <c r="R25" s="42"/>
      <c r="S25" s="42"/>
      <c r="T25" s="42"/>
      <c r="U25" s="42"/>
      <c r="V25" s="42"/>
      <c r="Y25" s="164">
        <f t="shared" si="4"/>
        <v>0</v>
      </c>
      <c r="Z25" s="164">
        <f t="shared" si="5"/>
        <v>0</v>
      </c>
      <c r="AA25" s="164">
        <f t="shared" si="6"/>
        <v>0</v>
      </c>
      <c r="AB25" s="164">
        <f t="shared" si="7"/>
        <v>0</v>
      </c>
      <c r="AC25" s="164">
        <f t="shared" si="8"/>
        <v>0</v>
      </c>
      <c r="AD25" s="163">
        <f t="shared" si="9"/>
        <v>0</v>
      </c>
      <c r="AE25" s="236"/>
      <c r="AG25" s="164">
        <f t="shared" si="45"/>
        <v>0</v>
      </c>
      <c r="AH25" s="164">
        <f t="shared" si="10"/>
        <v>0</v>
      </c>
      <c r="AI25" s="164">
        <f t="shared" si="10"/>
        <v>0</v>
      </c>
      <c r="AJ25" s="164">
        <f t="shared" si="10"/>
        <v>0</v>
      </c>
      <c r="AK25" s="164">
        <f t="shared" si="10"/>
        <v>0</v>
      </c>
      <c r="AL25" s="163">
        <f t="shared" si="11"/>
        <v>0</v>
      </c>
      <c r="AM25" s="129"/>
      <c r="AN25" s="163">
        <f t="shared" si="46"/>
        <v>0</v>
      </c>
      <c r="AO25" s="163">
        <f t="shared" si="47"/>
        <v>0</v>
      </c>
      <c r="AP25" s="163">
        <f t="shared" si="48"/>
        <v>0</v>
      </c>
      <c r="AQ25" s="163">
        <f t="shared" si="49"/>
        <v>0</v>
      </c>
      <c r="AR25" s="163">
        <f t="shared" si="50"/>
        <v>0</v>
      </c>
      <c r="AS25" s="163">
        <f t="shared" si="51"/>
        <v>0</v>
      </c>
      <c r="AT25" s="163">
        <f t="shared" si="78"/>
        <v>0</v>
      </c>
      <c r="AU25" s="132">
        <f t="shared" si="52"/>
        <v>0</v>
      </c>
      <c r="AV25" s="237" t="str">
        <f t="shared" si="53"/>
        <v/>
      </c>
      <c r="AW25" s="163">
        <f t="shared" si="54"/>
        <v>0</v>
      </c>
      <c r="AX25" s="237" t="str">
        <f t="shared" si="55"/>
        <v/>
      </c>
      <c r="AY25" s="22"/>
      <c r="AZ25" s="43">
        <f t="shared" si="12"/>
        <v>0</v>
      </c>
      <c r="BA25" s="43">
        <f t="shared" si="13"/>
        <v>0</v>
      </c>
      <c r="BB25" s="43">
        <f t="shared" si="14"/>
        <v>0</v>
      </c>
      <c r="BC25" s="43">
        <f t="shared" si="15"/>
        <v>0</v>
      </c>
      <c r="BD25" s="43">
        <f t="shared" si="16"/>
        <v>0</v>
      </c>
      <c r="BE25" s="30">
        <f t="shared" si="56"/>
        <v>0</v>
      </c>
      <c r="BF25" s="22"/>
      <c r="BH25" s="22" t="str">
        <f t="shared" ca="1" si="17"/>
        <v>maj</v>
      </c>
      <c r="BI25" s="44">
        <f t="shared" ca="1" si="18"/>
        <v>5</v>
      </c>
      <c r="BJ25" s="44">
        <f t="shared" ca="1" si="19"/>
        <v>0</v>
      </c>
      <c r="BK25" s="44">
        <f t="shared" ca="1" si="20"/>
        <v>0</v>
      </c>
      <c r="BL25" s="45" t="str">
        <f t="shared" ca="1" si="21"/>
        <v>jul</v>
      </c>
      <c r="BM25" s="45">
        <f t="shared" ca="1" si="57"/>
        <v>0</v>
      </c>
      <c r="BN25" s="43">
        <f t="shared" ca="1" si="58"/>
        <v>0</v>
      </c>
      <c r="BO25" s="43">
        <f t="shared" ca="1" si="22"/>
        <v>0</v>
      </c>
      <c r="BP25" s="43">
        <f t="shared" ca="1" si="22"/>
        <v>0</v>
      </c>
      <c r="BQ25" s="43">
        <f t="shared" ca="1" si="22"/>
        <v>0</v>
      </c>
      <c r="BR25" s="43">
        <f t="shared" ca="1" si="22"/>
        <v>0</v>
      </c>
      <c r="BS25" s="30">
        <f t="shared" ca="1" si="59"/>
        <v>0</v>
      </c>
      <c r="BT25" s="46">
        <f t="shared" ca="1" si="23"/>
        <v>0</v>
      </c>
      <c r="BU25" s="46">
        <f t="shared" ca="1" si="24"/>
        <v>0</v>
      </c>
      <c r="BV25" s="46">
        <f t="shared" ca="1" si="25"/>
        <v>0</v>
      </c>
      <c r="BW25" s="46">
        <f t="shared" ca="1" si="26"/>
        <v>0</v>
      </c>
      <c r="BX25" s="46">
        <f t="shared" ca="1" si="27"/>
        <v>0</v>
      </c>
      <c r="BY25" s="46"/>
      <c r="BZ25" s="45" t="str">
        <f t="shared" ca="1" si="60"/>
        <v>jul</v>
      </c>
      <c r="CA25" s="45">
        <f t="shared" ca="1" si="61"/>
        <v>0</v>
      </c>
      <c r="CB25" s="43">
        <f t="shared" ca="1" si="28"/>
        <v>0</v>
      </c>
      <c r="CC25" s="43">
        <f t="shared" ca="1" si="29"/>
        <v>0</v>
      </c>
      <c r="CD25" s="43">
        <f t="shared" ca="1" si="30"/>
        <v>0</v>
      </c>
      <c r="CE25" s="43">
        <f t="shared" ca="1" si="31"/>
        <v>0</v>
      </c>
      <c r="CF25" s="43">
        <f t="shared" ca="1" si="32"/>
        <v>0</v>
      </c>
      <c r="CG25" s="30">
        <f t="shared" ca="1" si="62"/>
        <v>0</v>
      </c>
      <c r="CI25" s="24"/>
      <c r="CJ25" s="30">
        <f t="shared" ca="1" si="33"/>
        <v>0</v>
      </c>
      <c r="CK25" s="30">
        <f t="shared" ca="1" si="34"/>
        <v>0</v>
      </c>
      <c r="CL25" s="30">
        <f t="shared" ca="1" si="35"/>
        <v>0</v>
      </c>
      <c r="CM25" s="30">
        <f t="shared" ca="1" si="36"/>
        <v>0</v>
      </c>
      <c r="CN25" s="30">
        <f t="shared" ca="1" si="37"/>
        <v>0</v>
      </c>
      <c r="CO25" s="30">
        <f t="shared" ca="1" si="63"/>
        <v>0</v>
      </c>
      <c r="CP25" s="22"/>
      <c r="CQ25" s="32" t="str">
        <f t="shared" ca="1" si="38"/>
        <v>202107</v>
      </c>
      <c r="CR25" s="32">
        <f ca="1">MATCH(Mätvärden!CQ25,Normalår!$R$5:$R$200,0)-1</f>
        <v>78</v>
      </c>
      <c r="CS25" s="47">
        <f ca="1">OFFSET(Normalår!$S$5,CR25,0)</f>
        <v>1.0516043107997004</v>
      </c>
      <c r="CU25" s="43">
        <f t="shared" ca="1" si="64"/>
        <v>0</v>
      </c>
      <c r="CV25" s="43">
        <f t="shared" ca="1" si="65"/>
        <v>0</v>
      </c>
      <c r="CW25" s="43">
        <f t="shared" ca="1" si="66"/>
        <v>0</v>
      </c>
      <c r="CX25" s="43">
        <f t="shared" ca="1" si="67"/>
        <v>0</v>
      </c>
      <c r="CY25" s="43">
        <f t="shared" ca="1" si="68"/>
        <v>0</v>
      </c>
      <c r="CZ25" s="30">
        <f t="shared" ca="1" si="69"/>
        <v>0</v>
      </c>
      <c r="DB25" s="48"/>
      <c r="DD25" s="30">
        <f t="shared" ca="1" si="70"/>
        <v>0</v>
      </c>
      <c r="DE25" s="30">
        <f t="shared" ca="1" si="71"/>
        <v>0</v>
      </c>
      <c r="DF25" s="30">
        <f t="shared" ca="1" si="72"/>
        <v>0</v>
      </c>
      <c r="DG25" s="30">
        <f t="shared" ca="1" si="73"/>
        <v>0</v>
      </c>
      <c r="DH25" s="30">
        <f t="shared" ca="1" si="74"/>
        <v>0</v>
      </c>
      <c r="DI25" s="30">
        <f t="shared" ca="1" si="75"/>
        <v>0</v>
      </c>
      <c r="DM25" s="30">
        <f t="shared" ca="1" si="39"/>
        <v>0</v>
      </c>
      <c r="DN25" s="30">
        <f t="shared" ca="1" si="40"/>
        <v>0</v>
      </c>
      <c r="DO25" s="30">
        <f t="shared" ca="1" si="41"/>
        <v>0</v>
      </c>
      <c r="DP25" s="30">
        <f t="shared" ca="1" si="42"/>
        <v>0</v>
      </c>
      <c r="DQ25" s="30">
        <f t="shared" ca="1" si="43"/>
        <v>0</v>
      </c>
      <c r="DR25" s="30">
        <f t="shared" ca="1" si="76"/>
        <v>0</v>
      </c>
      <c r="EI25" s="3" t="s">
        <v>1071</v>
      </c>
      <c r="EJ25" s="3">
        <v>23</v>
      </c>
      <c r="EK25" s="3"/>
    </row>
    <row r="26" spans="1:156" ht="16.5" customHeight="1" x14ac:dyDescent="0.25">
      <c r="F26" s="249">
        <f t="shared" ca="1" si="77"/>
        <v>2021</v>
      </c>
      <c r="G26" s="249" t="str">
        <f t="shared" ca="1" si="1"/>
        <v>aug</v>
      </c>
      <c r="H26" s="3"/>
      <c r="I26" s="41">
        <f t="shared" si="44"/>
        <v>0</v>
      </c>
      <c r="J26" s="259"/>
      <c r="K26" s="2"/>
      <c r="L26" s="41">
        <f>IF($D$14&gt;1,IF($L$18=$M$18,M26,M26/$M$15),0)</f>
        <v>0</v>
      </c>
      <c r="M26" s="259"/>
      <c r="N26" s="2"/>
      <c r="O26" s="41">
        <f t="shared" si="3"/>
        <v>0</v>
      </c>
      <c r="P26" s="259"/>
      <c r="Q26" s="42"/>
      <c r="R26" s="42"/>
      <c r="S26" s="42"/>
      <c r="T26" s="42"/>
      <c r="U26" s="42"/>
      <c r="V26" s="42"/>
      <c r="Y26" s="164">
        <f t="shared" si="4"/>
        <v>0</v>
      </c>
      <c r="Z26" s="164">
        <f t="shared" si="5"/>
        <v>0</v>
      </c>
      <c r="AA26" s="164">
        <f t="shared" si="6"/>
        <v>0</v>
      </c>
      <c r="AB26" s="164">
        <f t="shared" si="7"/>
        <v>0</v>
      </c>
      <c r="AC26" s="164">
        <f t="shared" si="8"/>
        <v>0</v>
      </c>
      <c r="AD26" s="163">
        <f t="shared" si="9"/>
        <v>0</v>
      </c>
      <c r="AE26" s="236"/>
      <c r="AG26" s="164">
        <f t="shared" si="45"/>
        <v>0</v>
      </c>
      <c r="AH26" s="164">
        <f t="shared" si="10"/>
        <v>0</v>
      </c>
      <c r="AI26" s="164">
        <f t="shared" si="10"/>
        <v>0</v>
      </c>
      <c r="AJ26" s="164">
        <f t="shared" si="10"/>
        <v>0</v>
      </c>
      <c r="AK26" s="164">
        <f t="shared" si="10"/>
        <v>0</v>
      </c>
      <c r="AL26" s="163">
        <f t="shared" si="11"/>
        <v>0</v>
      </c>
      <c r="AM26" s="129"/>
      <c r="AN26" s="163">
        <f t="shared" si="46"/>
        <v>0</v>
      </c>
      <c r="AO26" s="163">
        <f t="shared" si="47"/>
        <v>0</v>
      </c>
      <c r="AP26" s="163">
        <f t="shared" si="48"/>
        <v>0</v>
      </c>
      <c r="AQ26" s="163">
        <f t="shared" si="49"/>
        <v>0</v>
      </c>
      <c r="AR26" s="163">
        <f t="shared" si="50"/>
        <v>0</v>
      </c>
      <c r="AS26" s="163">
        <f t="shared" si="51"/>
        <v>0</v>
      </c>
      <c r="AT26" s="163">
        <f t="shared" si="78"/>
        <v>0</v>
      </c>
      <c r="AU26" s="132">
        <f t="shared" si="52"/>
        <v>0</v>
      </c>
      <c r="AV26" s="237" t="str">
        <f t="shared" si="53"/>
        <v/>
      </c>
      <c r="AW26" s="163">
        <f t="shared" si="54"/>
        <v>0</v>
      </c>
      <c r="AX26" s="237" t="str">
        <f t="shared" si="55"/>
        <v/>
      </c>
      <c r="AY26" s="22"/>
      <c r="AZ26" s="43">
        <f t="shared" si="12"/>
        <v>0</v>
      </c>
      <c r="BA26" s="43">
        <f t="shared" si="13"/>
        <v>0</v>
      </c>
      <c r="BB26" s="43">
        <f t="shared" si="14"/>
        <v>0</v>
      </c>
      <c r="BC26" s="43">
        <f t="shared" si="15"/>
        <v>0</v>
      </c>
      <c r="BD26" s="43">
        <f t="shared" si="16"/>
        <v>0</v>
      </c>
      <c r="BE26" s="30">
        <f t="shared" si="56"/>
        <v>0</v>
      </c>
      <c r="BF26" s="22"/>
      <c r="BH26" s="22" t="str">
        <f t="shared" ca="1" si="17"/>
        <v xml:space="preserve">jun </v>
      </c>
      <c r="BI26" s="44">
        <f t="shared" ca="1" si="18"/>
        <v>6</v>
      </c>
      <c r="BJ26" s="44">
        <f t="shared" ca="1" si="19"/>
        <v>0</v>
      </c>
      <c r="BK26" s="44">
        <f t="shared" ca="1" si="20"/>
        <v>0</v>
      </c>
      <c r="BL26" s="45" t="str">
        <f t="shared" ca="1" si="21"/>
        <v>aug</v>
      </c>
      <c r="BM26" s="45">
        <f t="shared" ca="1" si="57"/>
        <v>0</v>
      </c>
      <c r="BN26" s="43">
        <f t="shared" ca="1" si="58"/>
        <v>0</v>
      </c>
      <c r="BO26" s="43">
        <f t="shared" ca="1" si="22"/>
        <v>0</v>
      </c>
      <c r="BP26" s="43">
        <f t="shared" ca="1" si="22"/>
        <v>0</v>
      </c>
      <c r="BQ26" s="43">
        <f t="shared" ca="1" si="22"/>
        <v>0</v>
      </c>
      <c r="BR26" s="43">
        <f t="shared" ca="1" si="22"/>
        <v>0</v>
      </c>
      <c r="BS26" s="30">
        <f t="shared" ca="1" si="59"/>
        <v>0</v>
      </c>
      <c r="BT26" s="46">
        <f t="shared" ca="1" si="23"/>
        <v>0</v>
      </c>
      <c r="BU26" s="46">
        <f t="shared" ca="1" si="24"/>
        <v>0</v>
      </c>
      <c r="BV26" s="46">
        <f t="shared" ca="1" si="25"/>
        <v>0</v>
      </c>
      <c r="BW26" s="46">
        <f t="shared" ca="1" si="26"/>
        <v>0</v>
      </c>
      <c r="BX26" s="46">
        <f t="shared" ca="1" si="27"/>
        <v>0</v>
      </c>
      <c r="BY26" s="46"/>
      <c r="BZ26" s="45" t="str">
        <f t="shared" ca="1" si="60"/>
        <v>aug</v>
      </c>
      <c r="CA26" s="45">
        <f t="shared" ca="1" si="61"/>
        <v>0</v>
      </c>
      <c r="CB26" s="43">
        <f t="shared" ca="1" si="28"/>
        <v>0</v>
      </c>
      <c r="CC26" s="43">
        <f t="shared" ca="1" si="29"/>
        <v>0</v>
      </c>
      <c r="CD26" s="43">
        <f t="shared" ca="1" si="30"/>
        <v>0</v>
      </c>
      <c r="CE26" s="43">
        <f t="shared" ca="1" si="31"/>
        <v>0</v>
      </c>
      <c r="CF26" s="43">
        <f t="shared" ca="1" si="32"/>
        <v>0</v>
      </c>
      <c r="CG26" s="30">
        <f t="shared" ca="1" si="62"/>
        <v>0</v>
      </c>
      <c r="CI26" s="24"/>
      <c r="CJ26" s="30">
        <f t="shared" ca="1" si="33"/>
        <v>0</v>
      </c>
      <c r="CK26" s="30">
        <f t="shared" ca="1" si="34"/>
        <v>0</v>
      </c>
      <c r="CL26" s="30">
        <f t="shared" ca="1" si="35"/>
        <v>0</v>
      </c>
      <c r="CM26" s="30">
        <f t="shared" ca="1" si="36"/>
        <v>0</v>
      </c>
      <c r="CN26" s="30">
        <f t="shared" ca="1" si="37"/>
        <v>0</v>
      </c>
      <c r="CO26" s="30">
        <f t="shared" ca="1" si="63"/>
        <v>0</v>
      </c>
      <c r="CP26" s="22"/>
      <c r="CQ26" s="32" t="str">
        <f t="shared" ca="1" si="38"/>
        <v>202108</v>
      </c>
      <c r="CR26" s="32">
        <f ca="1">MATCH(Mätvärden!CQ26,Normalår!$R$5:$R$200,0)-1</f>
        <v>79</v>
      </c>
      <c r="CS26" s="47">
        <f ca="1">OFFSET(Normalår!$S$5,CR26,0)</f>
        <v>1.0516043107997004</v>
      </c>
      <c r="CU26" s="43">
        <f t="shared" ca="1" si="64"/>
        <v>0</v>
      </c>
      <c r="CV26" s="43">
        <f t="shared" ca="1" si="65"/>
        <v>0</v>
      </c>
      <c r="CW26" s="43">
        <f t="shared" ca="1" si="66"/>
        <v>0</v>
      </c>
      <c r="CX26" s="43">
        <f t="shared" ca="1" si="67"/>
        <v>0</v>
      </c>
      <c r="CY26" s="43">
        <f t="shared" ca="1" si="68"/>
        <v>0</v>
      </c>
      <c r="CZ26" s="30">
        <f t="shared" ca="1" si="69"/>
        <v>0</v>
      </c>
      <c r="DB26" s="48"/>
      <c r="DD26" s="30">
        <f t="shared" ca="1" si="70"/>
        <v>0</v>
      </c>
      <c r="DE26" s="30">
        <f t="shared" ca="1" si="71"/>
        <v>0</v>
      </c>
      <c r="DF26" s="30">
        <f t="shared" ca="1" si="72"/>
        <v>0</v>
      </c>
      <c r="DG26" s="30">
        <f t="shared" ca="1" si="73"/>
        <v>0</v>
      </c>
      <c r="DH26" s="30">
        <f t="shared" ca="1" si="74"/>
        <v>0</v>
      </c>
      <c r="DI26" s="30">
        <f t="shared" ca="1" si="75"/>
        <v>0</v>
      </c>
      <c r="DM26" s="30">
        <f t="shared" ca="1" si="39"/>
        <v>0</v>
      </c>
      <c r="DN26" s="30">
        <f t="shared" ca="1" si="40"/>
        <v>0</v>
      </c>
      <c r="DO26" s="30">
        <f t="shared" ca="1" si="41"/>
        <v>0</v>
      </c>
      <c r="DP26" s="30">
        <f t="shared" ca="1" si="42"/>
        <v>0</v>
      </c>
      <c r="DQ26" s="30">
        <f t="shared" ca="1" si="43"/>
        <v>0</v>
      </c>
      <c r="DR26" s="30">
        <f t="shared" ca="1" si="76"/>
        <v>0</v>
      </c>
      <c r="EI26" s="3" t="s">
        <v>1072</v>
      </c>
      <c r="EJ26" s="3">
        <v>24</v>
      </c>
      <c r="EK26" s="3"/>
    </row>
    <row r="27" spans="1:156" ht="16.5" customHeight="1" x14ac:dyDescent="0.25">
      <c r="F27" s="249">
        <f t="shared" ca="1" si="77"/>
        <v>2021</v>
      </c>
      <c r="G27" s="249" t="str">
        <f t="shared" ca="1" si="1"/>
        <v>sept</v>
      </c>
      <c r="H27" s="3"/>
      <c r="I27" s="41">
        <f t="shared" si="44"/>
        <v>0</v>
      </c>
      <c r="J27" s="259"/>
      <c r="K27" s="2"/>
      <c r="L27" s="41">
        <f t="shared" si="2"/>
        <v>0</v>
      </c>
      <c r="M27" s="259"/>
      <c r="N27" s="2"/>
      <c r="O27" s="41">
        <f t="shared" si="3"/>
        <v>0</v>
      </c>
      <c r="P27" s="259"/>
      <c r="Q27" s="42"/>
      <c r="R27" s="42"/>
      <c r="S27" s="42"/>
      <c r="T27" s="42"/>
      <c r="U27" s="42"/>
      <c r="V27" s="42"/>
      <c r="Y27" s="164">
        <f t="shared" si="4"/>
        <v>0</v>
      </c>
      <c r="Z27" s="164">
        <f t="shared" si="5"/>
        <v>0</v>
      </c>
      <c r="AA27" s="164">
        <f t="shared" si="6"/>
        <v>0</v>
      </c>
      <c r="AB27" s="164">
        <f t="shared" si="7"/>
        <v>0</v>
      </c>
      <c r="AC27" s="164">
        <f t="shared" si="8"/>
        <v>0</v>
      </c>
      <c r="AD27" s="163">
        <f t="shared" si="9"/>
        <v>0</v>
      </c>
      <c r="AE27" s="236"/>
      <c r="AG27" s="164">
        <f t="shared" si="45"/>
        <v>0</v>
      </c>
      <c r="AH27" s="164">
        <f t="shared" si="10"/>
        <v>0</v>
      </c>
      <c r="AI27" s="164">
        <f t="shared" si="10"/>
        <v>0</v>
      </c>
      <c r="AJ27" s="164">
        <f t="shared" si="10"/>
        <v>0</v>
      </c>
      <c r="AK27" s="164">
        <f t="shared" si="10"/>
        <v>0</v>
      </c>
      <c r="AL27" s="163">
        <f t="shared" si="11"/>
        <v>0</v>
      </c>
      <c r="AM27" s="129"/>
      <c r="AN27" s="163">
        <f t="shared" si="46"/>
        <v>0</v>
      </c>
      <c r="AO27" s="163">
        <f t="shared" si="47"/>
        <v>0</v>
      </c>
      <c r="AP27" s="163">
        <f t="shared" si="48"/>
        <v>0</v>
      </c>
      <c r="AQ27" s="163">
        <f t="shared" si="49"/>
        <v>0</v>
      </c>
      <c r="AR27" s="163">
        <f t="shared" si="50"/>
        <v>0</v>
      </c>
      <c r="AS27" s="163">
        <f t="shared" si="51"/>
        <v>0</v>
      </c>
      <c r="AT27" s="163">
        <f t="shared" si="78"/>
        <v>0</v>
      </c>
      <c r="AU27" s="132">
        <f t="shared" si="52"/>
        <v>0</v>
      </c>
      <c r="AV27" s="237" t="str">
        <f t="shared" si="53"/>
        <v/>
      </c>
      <c r="AW27" s="163">
        <f t="shared" si="54"/>
        <v>0</v>
      </c>
      <c r="AX27" s="237" t="str">
        <f t="shared" si="55"/>
        <v/>
      </c>
      <c r="AY27" s="22"/>
      <c r="AZ27" s="43">
        <f t="shared" si="12"/>
        <v>0</v>
      </c>
      <c r="BA27" s="43">
        <f t="shared" si="13"/>
        <v>0</v>
      </c>
      <c r="BB27" s="43">
        <f t="shared" si="14"/>
        <v>0</v>
      </c>
      <c r="BC27" s="43">
        <f t="shared" si="15"/>
        <v>0</v>
      </c>
      <c r="BD27" s="43">
        <f t="shared" si="16"/>
        <v>0</v>
      </c>
      <c r="BE27" s="30">
        <f t="shared" si="56"/>
        <v>0</v>
      </c>
      <c r="BF27" s="22"/>
      <c r="BH27" s="22" t="str">
        <f t="shared" ca="1" si="17"/>
        <v>jul</v>
      </c>
      <c r="BI27" s="44">
        <f t="shared" ca="1" si="18"/>
        <v>7</v>
      </c>
      <c r="BJ27" s="44">
        <f t="shared" ca="1" si="19"/>
        <v>0</v>
      </c>
      <c r="BK27" s="44">
        <f t="shared" ca="1" si="20"/>
        <v>0</v>
      </c>
      <c r="BL27" s="45" t="str">
        <f t="shared" ca="1" si="21"/>
        <v>sept</v>
      </c>
      <c r="BM27" s="45">
        <f t="shared" ca="1" si="57"/>
        <v>0</v>
      </c>
      <c r="BN27" s="43">
        <f t="shared" ca="1" si="58"/>
        <v>0</v>
      </c>
      <c r="BO27" s="43">
        <f t="shared" ca="1" si="22"/>
        <v>0</v>
      </c>
      <c r="BP27" s="43">
        <f t="shared" ca="1" si="22"/>
        <v>0</v>
      </c>
      <c r="BQ27" s="43">
        <f t="shared" ca="1" si="22"/>
        <v>0</v>
      </c>
      <c r="BR27" s="43">
        <f t="shared" ca="1" si="22"/>
        <v>0</v>
      </c>
      <c r="BS27" s="30">
        <f t="shared" ca="1" si="59"/>
        <v>0</v>
      </c>
      <c r="BT27" s="46">
        <f t="shared" ca="1" si="23"/>
        <v>0</v>
      </c>
      <c r="BU27" s="46">
        <f t="shared" ca="1" si="24"/>
        <v>0</v>
      </c>
      <c r="BV27" s="46">
        <f t="shared" ca="1" si="25"/>
        <v>0</v>
      </c>
      <c r="BW27" s="46">
        <f t="shared" ca="1" si="26"/>
        <v>0</v>
      </c>
      <c r="BX27" s="46">
        <f t="shared" ca="1" si="27"/>
        <v>0</v>
      </c>
      <c r="BY27" s="46"/>
      <c r="BZ27" s="45" t="str">
        <f t="shared" ca="1" si="60"/>
        <v>sept</v>
      </c>
      <c r="CA27" s="45">
        <f t="shared" ca="1" si="61"/>
        <v>0</v>
      </c>
      <c r="CB27" s="43">
        <f t="shared" ca="1" si="28"/>
        <v>0</v>
      </c>
      <c r="CC27" s="43">
        <f t="shared" ca="1" si="29"/>
        <v>0</v>
      </c>
      <c r="CD27" s="43">
        <f t="shared" ca="1" si="30"/>
        <v>0</v>
      </c>
      <c r="CE27" s="43">
        <f t="shared" ca="1" si="31"/>
        <v>0</v>
      </c>
      <c r="CF27" s="43">
        <f t="shared" ca="1" si="32"/>
        <v>0</v>
      </c>
      <c r="CG27" s="30">
        <f t="shared" ca="1" si="62"/>
        <v>0</v>
      </c>
      <c r="CI27" s="24"/>
      <c r="CJ27" s="30">
        <f t="shared" ca="1" si="33"/>
        <v>0</v>
      </c>
      <c r="CK27" s="30">
        <f t="shared" ca="1" si="34"/>
        <v>0</v>
      </c>
      <c r="CL27" s="30">
        <f t="shared" ca="1" si="35"/>
        <v>0</v>
      </c>
      <c r="CM27" s="30">
        <f t="shared" ca="1" si="36"/>
        <v>0</v>
      </c>
      <c r="CN27" s="30">
        <f t="shared" ca="1" si="37"/>
        <v>0</v>
      </c>
      <c r="CO27" s="30">
        <f t="shared" ca="1" si="63"/>
        <v>0</v>
      </c>
      <c r="CP27" s="22"/>
      <c r="CQ27" s="32" t="str">
        <f t="shared" ca="1" si="38"/>
        <v>202109</v>
      </c>
      <c r="CR27" s="32">
        <f ca="1">MATCH(Mätvärden!CQ27,Normalår!$R$5:$R$200,0)-1</f>
        <v>80</v>
      </c>
      <c r="CS27" s="47">
        <f ca="1">OFFSET(Normalår!$S$5,CR27,0)</f>
        <v>1.0516043107997004</v>
      </c>
      <c r="CU27" s="43">
        <f t="shared" ca="1" si="64"/>
        <v>0</v>
      </c>
      <c r="CV27" s="43">
        <f t="shared" ca="1" si="65"/>
        <v>0</v>
      </c>
      <c r="CW27" s="43">
        <f t="shared" ca="1" si="66"/>
        <v>0</v>
      </c>
      <c r="CX27" s="43">
        <f t="shared" ca="1" si="67"/>
        <v>0</v>
      </c>
      <c r="CY27" s="43">
        <f t="shared" ca="1" si="68"/>
        <v>0</v>
      </c>
      <c r="CZ27" s="30">
        <f t="shared" ca="1" si="69"/>
        <v>0</v>
      </c>
      <c r="DB27" s="48"/>
      <c r="DD27" s="30">
        <f t="shared" ca="1" si="70"/>
        <v>0</v>
      </c>
      <c r="DE27" s="30">
        <f t="shared" ca="1" si="71"/>
        <v>0</v>
      </c>
      <c r="DF27" s="30">
        <f t="shared" ca="1" si="72"/>
        <v>0</v>
      </c>
      <c r="DG27" s="30">
        <f t="shared" ca="1" si="73"/>
        <v>0</v>
      </c>
      <c r="DH27" s="30">
        <f t="shared" ca="1" si="74"/>
        <v>0</v>
      </c>
      <c r="DI27" s="30">
        <f t="shared" ca="1" si="75"/>
        <v>0</v>
      </c>
      <c r="DM27" s="30">
        <f t="shared" ca="1" si="39"/>
        <v>0</v>
      </c>
      <c r="DN27" s="30">
        <f t="shared" ca="1" si="40"/>
        <v>0</v>
      </c>
      <c r="DO27" s="30">
        <f t="shared" ca="1" si="41"/>
        <v>0</v>
      </c>
      <c r="DP27" s="30">
        <f t="shared" ca="1" si="42"/>
        <v>0</v>
      </c>
      <c r="DQ27" s="30">
        <f t="shared" ca="1" si="43"/>
        <v>0</v>
      </c>
      <c r="DR27" s="30">
        <f t="shared" ca="1" si="76"/>
        <v>0</v>
      </c>
      <c r="EI27" s="80" t="str">
        <f>G15</f>
        <v>jan</v>
      </c>
      <c r="EJ27" s="85"/>
      <c r="EK27" s="85"/>
    </row>
    <row r="28" spans="1:156" ht="16.5" customHeight="1" x14ac:dyDescent="0.25">
      <c r="F28" s="249">
        <f t="shared" ca="1" si="77"/>
        <v>2021</v>
      </c>
      <c r="G28" s="249" t="str">
        <f t="shared" ca="1" si="1"/>
        <v>okt</v>
      </c>
      <c r="H28" s="3"/>
      <c r="I28" s="41">
        <f t="shared" si="44"/>
        <v>0</v>
      </c>
      <c r="J28" s="259"/>
      <c r="K28" s="2"/>
      <c r="L28" s="41">
        <f t="shared" si="2"/>
        <v>0</v>
      </c>
      <c r="M28" s="259"/>
      <c r="N28" s="2"/>
      <c r="O28" s="41">
        <f t="shared" si="3"/>
        <v>0</v>
      </c>
      <c r="P28" s="259"/>
      <c r="Q28" s="42"/>
      <c r="R28" s="42"/>
      <c r="S28" s="42"/>
      <c r="T28" s="42"/>
      <c r="U28" s="42"/>
      <c r="V28" s="42"/>
      <c r="Y28" s="164">
        <f t="shared" si="4"/>
        <v>0</v>
      </c>
      <c r="Z28" s="164">
        <f t="shared" si="5"/>
        <v>0</v>
      </c>
      <c r="AA28" s="164">
        <f t="shared" si="6"/>
        <v>0</v>
      </c>
      <c r="AB28" s="164">
        <f t="shared" si="7"/>
        <v>0</v>
      </c>
      <c r="AC28" s="164">
        <f t="shared" si="8"/>
        <v>0</v>
      </c>
      <c r="AD28" s="163">
        <f t="shared" si="9"/>
        <v>0</v>
      </c>
      <c r="AE28" s="236"/>
      <c r="AG28" s="164">
        <f t="shared" si="45"/>
        <v>0</v>
      </c>
      <c r="AH28" s="164">
        <f t="shared" si="10"/>
        <v>0</v>
      </c>
      <c r="AI28" s="164">
        <f t="shared" si="10"/>
        <v>0</v>
      </c>
      <c r="AJ28" s="164">
        <f t="shared" si="10"/>
        <v>0</v>
      </c>
      <c r="AK28" s="164">
        <f t="shared" si="10"/>
        <v>0</v>
      </c>
      <c r="AL28" s="163">
        <f t="shared" si="11"/>
        <v>0</v>
      </c>
      <c r="AM28" s="129"/>
      <c r="AN28" s="163">
        <f t="shared" si="46"/>
        <v>0</v>
      </c>
      <c r="AO28" s="163">
        <f t="shared" si="47"/>
        <v>0</v>
      </c>
      <c r="AP28" s="163">
        <f t="shared" si="48"/>
        <v>0</v>
      </c>
      <c r="AQ28" s="163">
        <f t="shared" si="49"/>
        <v>0</v>
      </c>
      <c r="AR28" s="163">
        <f t="shared" si="50"/>
        <v>0</v>
      </c>
      <c r="AS28" s="163">
        <f t="shared" si="51"/>
        <v>0</v>
      </c>
      <c r="AT28" s="163">
        <f t="shared" si="78"/>
        <v>0</v>
      </c>
      <c r="AU28" s="132">
        <f t="shared" si="52"/>
        <v>0</v>
      </c>
      <c r="AV28" s="237" t="str">
        <f t="shared" si="53"/>
        <v/>
      </c>
      <c r="AW28" s="163">
        <f t="shared" si="54"/>
        <v>0</v>
      </c>
      <c r="AX28" s="237" t="str">
        <f t="shared" si="55"/>
        <v/>
      </c>
      <c r="AY28" s="22"/>
      <c r="AZ28" s="43">
        <f t="shared" si="12"/>
        <v>0</v>
      </c>
      <c r="BA28" s="43">
        <f t="shared" si="13"/>
        <v>0</v>
      </c>
      <c r="BB28" s="43">
        <f t="shared" si="14"/>
        <v>0</v>
      </c>
      <c r="BC28" s="43">
        <f t="shared" si="15"/>
        <v>0</v>
      </c>
      <c r="BD28" s="43">
        <f t="shared" si="16"/>
        <v>0</v>
      </c>
      <c r="BE28" s="30">
        <f t="shared" si="56"/>
        <v>0</v>
      </c>
      <c r="BF28" s="22"/>
      <c r="BH28" s="22" t="str">
        <f t="shared" ca="1" si="17"/>
        <v>aug</v>
      </c>
      <c r="BI28" s="44">
        <f t="shared" ca="1" si="18"/>
        <v>8</v>
      </c>
      <c r="BJ28" s="44">
        <f t="shared" ca="1" si="19"/>
        <v>0</v>
      </c>
      <c r="BK28" s="44">
        <f t="shared" ca="1" si="20"/>
        <v>0</v>
      </c>
      <c r="BL28" s="45" t="str">
        <f t="shared" ca="1" si="21"/>
        <v>okt</v>
      </c>
      <c r="BM28" s="45">
        <f t="shared" ca="1" si="57"/>
        <v>0</v>
      </c>
      <c r="BN28" s="43">
        <f t="shared" ca="1" si="58"/>
        <v>0</v>
      </c>
      <c r="BO28" s="43">
        <f t="shared" ca="1" si="22"/>
        <v>0</v>
      </c>
      <c r="BP28" s="43">
        <f t="shared" ca="1" si="22"/>
        <v>0</v>
      </c>
      <c r="BQ28" s="43">
        <f t="shared" ca="1" si="22"/>
        <v>0</v>
      </c>
      <c r="BR28" s="43">
        <f t="shared" ca="1" si="22"/>
        <v>0</v>
      </c>
      <c r="BS28" s="30">
        <f t="shared" ca="1" si="59"/>
        <v>0</v>
      </c>
      <c r="BT28" s="46">
        <f t="shared" ca="1" si="23"/>
        <v>0</v>
      </c>
      <c r="BU28" s="46">
        <f t="shared" ca="1" si="24"/>
        <v>0</v>
      </c>
      <c r="BV28" s="46">
        <f t="shared" ca="1" si="25"/>
        <v>0</v>
      </c>
      <c r="BW28" s="46">
        <f t="shared" ca="1" si="26"/>
        <v>0</v>
      </c>
      <c r="BX28" s="46">
        <f t="shared" ca="1" si="27"/>
        <v>0</v>
      </c>
      <c r="BY28" s="46"/>
      <c r="BZ28" s="45" t="str">
        <f t="shared" ca="1" si="60"/>
        <v>okt</v>
      </c>
      <c r="CA28" s="45">
        <f t="shared" ca="1" si="61"/>
        <v>0</v>
      </c>
      <c r="CB28" s="43">
        <f t="shared" ca="1" si="28"/>
        <v>0</v>
      </c>
      <c r="CC28" s="43">
        <f t="shared" ca="1" si="29"/>
        <v>0</v>
      </c>
      <c r="CD28" s="43">
        <f t="shared" ca="1" si="30"/>
        <v>0</v>
      </c>
      <c r="CE28" s="43">
        <f t="shared" ca="1" si="31"/>
        <v>0</v>
      </c>
      <c r="CF28" s="43">
        <f t="shared" ca="1" si="32"/>
        <v>0</v>
      </c>
      <c r="CG28" s="30">
        <f t="shared" ca="1" si="62"/>
        <v>0</v>
      </c>
      <c r="CI28" s="24"/>
      <c r="CJ28" s="30">
        <f t="shared" ca="1" si="33"/>
        <v>0</v>
      </c>
      <c r="CK28" s="30">
        <f t="shared" ca="1" si="34"/>
        <v>0</v>
      </c>
      <c r="CL28" s="30">
        <f t="shared" ca="1" si="35"/>
        <v>0</v>
      </c>
      <c r="CM28" s="30">
        <f t="shared" ca="1" si="36"/>
        <v>0</v>
      </c>
      <c r="CN28" s="30">
        <f t="shared" ca="1" si="37"/>
        <v>0</v>
      </c>
      <c r="CO28" s="30">
        <f t="shared" ca="1" si="63"/>
        <v>0</v>
      </c>
      <c r="CP28" s="22"/>
      <c r="CQ28" s="32" t="str">
        <f t="shared" ca="1" si="38"/>
        <v>202110</v>
      </c>
      <c r="CR28" s="32">
        <f ca="1">MATCH(Mätvärden!CQ28,Normalår!$R$5:$R$200,0)-1</f>
        <v>81</v>
      </c>
      <c r="CS28" s="47">
        <f ca="1">OFFSET(Normalår!$S$5,CR28,0)</f>
        <v>1.4777762402046783</v>
      </c>
      <c r="CU28" s="43">
        <f t="shared" ca="1" si="64"/>
        <v>0</v>
      </c>
      <c r="CV28" s="43">
        <f t="shared" ca="1" si="65"/>
        <v>0</v>
      </c>
      <c r="CW28" s="43">
        <f t="shared" ca="1" si="66"/>
        <v>0</v>
      </c>
      <c r="CX28" s="43">
        <f t="shared" ca="1" si="67"/>
        <v>0</v>
      </c>
      <c r="CY28" s="43">
        <f t="shared" ca="1" si="68"/>
        <v>0</v>
      </c>
      <c r="CZ28" s="30">
        <f t="shared" ca="1" si="69"/>
        <v>0</v>
      </c>
      <c r="DB28" s="48"/>
      <c r="DD28" s="30">
        <f t="shared" ca="1" si="70"/>
        <v>0</v>
      </c>
      <c r="DE28" s="30">
        <f t="shared" ca="1" si="71"/>
        <v>0</v>
      </c>
      <c r="DF28" s="30">
        <f t="shared" ca="1" si="72"/>
        <v>0</v>
      </c>
      <c r="DG28" s="30">
        <f t="shared" ca="1" si="73"/>
        <v>0</v>
      </c>
      <c r="DH28" s="30">
        <f t="shared" ca="1" si="74"/>
        <v>0</v>
      </c>
      <c r="DI28" s="30">
        <f t="shared" ca="1" si="75"/>
        <v>0</v>
      </c>
      <c r="DM28" s="30">
        <f t="shared" ca="1" si="39"/>
        <v>0</v>
      </c>
      <c r="DN28" s="30">
        <f t="shared" ca="1" si="40"/>
        <v>0</v>
      </c>
      <c r="DO28" s="30">
        <f t="shared" ca="1" si="41"/>
        <v>0</v>
      </c>
      <c r="DP28" s="30">
        <f t="shared" ca="1" si="42"/>
        <v>0</v>
      </c>
      <c r="DQ28" s="30">
        <f t="shared" ca="1" si="43"/>
        <v>0</v>
      </c>
      <c r="DR28" s="30">
        <f t="shared" ca="1" si="76"/>
        <v>0</v>
      </c>
      <c r="EI28" s="162">
        <f>MATCH(EI27,EI3:EI14,0)</f>
        <v>1</v>
      </c>
      <c r="EJ28" s="162"/>
      <c r="EK28" s="162"/>
    </row>
    <row r="29" spans="1:156" ht="16.5" customHeight="1" x14ac:dyDescent="0.25">
      <c r="F29" s="249">
        <f t="shared" ca="1" si="77"/>
        <v>2021</v>
      </c>
      <c r="G29" s="249" t="str">
        <f t="shared" ca="1" si="1"/>
        <v>nov</v>
      </c>
      <c r="H29" s="3"/>
      <c r="I29" s="41">
        <f t="shared" si="44"/>
        <v>0</v>
      </c>
      <c r="J29" s="259"/>
      <c r="K29" s="2"/>
      <c r="L29" s="41">
        <f t="shared" si="2"/>
        <v>0</v>
      </c>
      <c r="M29" s="259"/>
      <c r="N29" s="2"/>
      <c r="O29" s="41">
        <f t="shared" si="3"/>
        <v>0</v>
      </c>
      <c r="P29" s="259"/>
      <c r="Q29" s="42"/>
      <c r="R29" s="42"/>
      <c r="S29" s="42"/>
      <c r="T29" s="42"/>
      <c r="U29" s="42"/>
      <c r="V29" s="42"/>
      <c r="Y29" s="164">
        <f t="shared" si="4"/>
        <v>0</v>
      </c>
      <c r="Z29" s="164">
        <f t="shared" si="5"/>
        <v>0</v>
      </c>
      <c r="AA29" s="164">
        <f t="shared" si="6"/>
        <v>0</v>
      </c>
      <c r="AB29" s="164">
        <f t="shared" si="7"/>
        <v>0</v>
      </c>
      <c r="AC29" s="164">
        <f t="shared" si="8"/>
        <v>0</v>
      </c>
      <c r="AD29" s="163">
        <f t="shared" si="9"/>
        <v>0</v>
      </c>
      <c r="AE29" s="236"/>
      <c r="AG29" s="164">
        <f t="shared" si="45"/>
        <v>0</v>
      </c>
      <c r="AH29" s="164">
        <f t="shared" si="10"/>
        <v>0</v>
      </c>
      <c r="AI29" s="164">
        <f t="shared" si="10"/>
        <v>0</v>
      </c>
      <c r="AJ29" s="164">
        <f t="shared" si="10"/>
        <v>0</v>
      </c>
      <c r="AK29" s="164">
        <f t="shared" si="10"/>
        <v>0</v>
      </c>
      <c r="AL29" s="163">
        <f t="shared" si="11"/>
        <v>0</v>
      </c>
      <c r="AM29" s="129"/>
      <c r="AN29" s="163">
        <f t="shared" si="46"/>
        <v>0</v>
      </c>
      <c r="AO29" s="163">
        <f t="shared" si="47"/>
        <v>0</v>
      </c>
      <c r="AP29" s="163">
        <f t="shared" si="48"/>
        <v>0</v>
      </c>
      <c r="AQ29" s="163">
        <f t="shared" si="49"/>
        <v>0</v>
      </c>
      <c r="AR29" s="163">
        <f t="shared" si="50"/>
        <v>0</v>
      </c>
      <c r="AS29" s="163">
        <f t="shared" si="51"/>
        <v>0</v>
      </c>
      <c r="AT29" s="163">
        <f t="shared" si="78"/>
        <v>0</v>
      </c>
      <c r="AU29" s="132">
        <f t="shared" si="52"/>
        <v>0</v>
      </c>
      <c r="AV29" s="237" t="str">
        <f t="shared" si="53"/>
        <v/>
      </c>
      <c r="AW29" s="163">
        <f t="shared" si="54"/>
        <v>0</v>
      </c>
      <c r="AX29" s="237" t="str">
        <f t="shared" si="55"/>
        <v/>
      </c>
      <c r="AY29" s="22"/>
      <c r="AZ29" s="43">
        <f t="shared" si="12"/>
        <v>0</v>
      </c>
      <c r="BA29" s="43">
        <f t="shared" si="13"/>
        <v>0</v>
      </c>
      <c r="BB29" s="43">
        <f t="shared" si="14"/>
        <v>0</v>
      </c>
      <c r="BC29" s="43">
        <f t="shared" si="15"/>
        <v>0</v>
      </c>
      <c r="BD29" s="43">
        <f t="shared" si="16"/>
        <v>0</v>
      </c>
      <c r="BE29" s="30">
        <f t="shared" si="56"/>
        <v>0</v>
      </c>
      <c r="BF29" s="22"/>
      <c r="BH29" s="22" t="str">
        <f t="shared" ca="1" si="17"/>
        <v>sept</v>
      </c>
      <c r="BI29" s="44">
        <f t="shared" ca="1" si="18"/>
        <v>9</v>
      </c>
      <c r="BJ29" s="44">
        <f t="shared" ca="1" si="19"/>
        <v>0</v>
      </c>
      <c r="BK29" s="44">
        <f t="shared" ca="1" si="20"/>
        <v>0</v>
      </c>
      <c r="BL29" s="45" t="str">
        <f t="shared" ca="1" si="21"/>
        <v>nov</v>
      </c>
      <c r="BM29" s="45">
        <f t="shared" ca="1" si="57"/>
        <v>1</v>
      </c>
      <c r="BN29" s="43">
        <f t="shared" ca="1" si="58"/>
        <v>0</v>
      </c>
      <c r="BO29" s="43">
        <f t="shared" ca="1" si="22"/>
        <v>0</v>
      </c>
      <c r="BP29" s="43">
        <f t="shared" ca="1" si="22"/>
        <v>0</v>
      </c>
      <c r="BQ29" s="43">
        <f t="shared" ca="1" si="22"/>
        <v>0</v>
      </c>
      <c r="BR29" s="43">
        <f t="shared" ca="1" si="22"/>
        <v>0</v>
      </c>
      <c r="BS29" s="30">
        <f t="shared" ca="1" si="59"/>
        <v>0</v>
      </c>
      <c r="BT29" s="46">
        <f t="shared" ca="1" si="23"/>
        <v>0</v>
      </c>
      <c r="BU29" s="46">
        <f t="shared" ca="1" si="24"/>
        <v>0</v>
      </c>
      <c r="BV29" s="46">
        <f t="shared" ca="1" si="25"/>
        <v>0</v>
      </c>
      <c r="BW29" s="46">
        <f t="shared" ca="1" si="26"/>
        <v>0</v>
      </c>
      <c r="BX29" s="46">
        <f t="shared" ca="1" si="27"/>
        <v>0</v>
      </c>
      <c r="BY29" s="46"/>
      <c r="BZ29" s="45" t="str">
        <f t="shared" ca="1" si="60"/>
        <v>nov</v>
      </c>
      <c r="CA29" s="45">
        <f t="shared" ca="1" si="61"/>
        <v>1</v>
      </c>
      <c r="CB29" s="43">
        <f t="shared" ca="1" si="28"/>
        <v>0</v>
      </c>
      <c r="CC29" s="43">
        <f t="shared" ca="1" si="29"/>
        <v>0</v>
      </c>
      <c r="CD29" s="43">
        <f t="shared" ca="1" si="30"/>
        <v>0</v>
      </c>
      <c r="CE29" s="43">
        <f t="shared" ca="1" si="31"/>
        <v>0</v>
      </c>
      <c r="CF29" s="43">
        <f t="shared" ca="1" si="32"/>
        <v>0</v>
      </c>
      <c r="CG29" s="30">
        <f t="shared" ca="1" si="62"/>
        <v>0</v>
      </c>
      <c r="CI29" s="24"/>
      <c r="CJ29" s="30">
        <f t="shared" ca="1" si="33"/>
        <v>0</v>
      </c>
      <c r="CK29" s="30">
        <f t="shared" ca="1" si="34"/>
        <v>0</v>
      </c>
      <c r="CL29" s="30">
        <f t="shared" ca="1" si="35"/>
        <v>0</v>
      </c>
      <c r="CM29" s="30">
        <f t="shared" ca="1" si="36"/>
        <v>0</v>
      </c>
      <c r="CN29" s="30">
        <f t="shared" ca="1" si="37"/>
        <v>0</v>
      </c>
      <c r="CO29" s="30">
        <f t="shared" ca="1" si="63"/>
        <v>0</v>
      </c>
      <c r="CP29" s="22"/>
      <c r="CQ29" s="32" t="str">
        <f t="shared" ca="1" si="38"/>
        <v>202111</v>
      </c>
      <c r="CR29" s="32">
        <f ca="1">MATCH(Mätvärden!CQ29,Normalår!$R$5:$R$200,0)-1</f>
        <v>82</v>
      </c>
      <c r="CS29" s="47">
        <f ca="1">OFFSET(Normalår!$S$5,CR29,0)</f>
        <v>1.0457305446014076</v>
      </c>
      <c r="CU29" s="43">
        <f t="shared" ca="1" si="64"/>
        <v>0</v>
      </c>
      <c r="CV29" s="43">
        <f t="shared" ca="1" si="65"/>
        <v>0</v>
      </c>
      <c r="CW29" s="43">
        <f t="shared" ca="1" si="66"/>
        <v>0</v>
      </c>
      <c r="CX29" s="43">
        <f t="shared" ca="1" si="67"/>
        <v>0</v>
      </c>
      <c r="CY29" s="43">
        <f ca="1">CN29*CS29</f>
        <v>0</v>
      </c>
      <c r="CZ29" s="30">
        <f t="shared" ca="1" si="69"/>
        <v>0</v>
      </c>
      <c r="DB29" s="48"/>
      <c r="DD29" s="30">
        <f t="shared" ca="1" si="70"/>
        <v>0</v>
      </c>
      <c r="DE29" s="30">
        <f t="shared" ca="1" si="71"/>
        <v>0</v>
      </c>
      <c r="DF29" s="30">
        <f t="shared" ca="1" si="72"/>
        <v>0</v>
      </c>
      <c r="DG29" s="30">
        <f t="shared" ca="1" si="73"/>
        <v>0</v>
      </c>
      <c r="DH29" s="30">
        <f t="shared" ca="1" si="74"/>
        <v>0</v>
      </c>
      <c r="DI29" s="30">
        <f t="shared" ca="1" si="75"/>
        <v>0</v>
      </c>
      <c r="DM29" s="30">
        <f t="shared" ca="1" si="39"/>
        <v>0</v>
      </c>
      <c r="DN29" s="30">
        <f t="shared" ca="1" si="40"/>
        <v>0</v>
      </c>
      <c r="DO29" s="30">
        <f t="shared" ca="1" si="41"/>
        <v>0</v>
      </c>
      <c r="DP29" s="30">
        <f t="shared" ca="1" si="42"/>
        <v>0</v>
      </c>
      <c r="DQ29" s="30">
        <f t="shared" ca="1" si="43"/>
        <v>0</v>
      </c>
      <c r="DR29" s="30">
        <f t="shared" ca="1" si="76"/>
        <v>0</v>
      </c>
    </row>
    <row r="30" spans="1:156" ht="16.5" customHeight="1" thickBot="1" x14ac:dyDescent="0.3">
      <c r="F30" s="249">
        <f t="shared" ca="1" si="77"/>
        <v>2021</v>
      </c>
      <c r="G30" s="249" t="str">
        <f t="shared" ca="1" si="1"/>
        <v>dec</v>
      </c>
      <c r="H30" s="3"/>
      <c r="I30" s="41">
        <f t="shared" si="44"/>
        <v>0</v>
      </c>
      <c r="J30" s="259"/>
      <c r="K30" s="2"/>
      <c r="L30" s="41">
        <f t="shared" si="2"/>
        <v>0</v>
      </c>
      <c r="M30" s="259"/>
      <c r="N30" s="2"/>
      <c r="O30" s="41">
        <f t="shared" si="3"/>
        <v>0</v>
      </c>
      <c r="P30" s="259"/>
      <c r="Q30" s="42"/>
      <c r="R30" s="42"/>
      <c r="S30" s="42"/>
      <c r="T30" s="42"/>
      <c r="U30" s="42"/>
      <c r="V30" s="42"/>
      <c r="Y30" s="165">
        <f t="shared" si="4"/>
        <v>0</v>
      </c>
      <c r="Z30" s="165">
        <f t="shared" si="5"/>
        <v>0</v>
      </c>
      <c r="AA30" s="165">
        <f t="shared" si="6"/>
        <v>0</v>
      </c>
      <c r="AB30" s="165">
        <f t="shared" si="7"/>
        <v>0</v>
      </c>
      <c r="AC30" s="165">
        <f t="shared" si="8"/>
        <v>0</v>
      </c>
      <c r="AD30" s="166">
        <f t="shared" si="9"/>
        <v>0</v>
      </c>
      <c r="AE30" s="236"/>
      <c r="AG30" s="165">
        <f t="shared" si="45"/>
        <v>0</v>
      </c>
      <c r="AH30" s="165">
        <f t="shared" si="10"/>
        <v>0</v>
      </c>
      <c r="AI30" s="165">
        <f t="shared" si="10"/>
        <v>0</v>
      </c>
      <c r="AJ30" s="165">
        <f t="shared" si="10"/>
        <v>0</v>
      </c>
      <c r="AK30" s="165">
        <f t="shared" si="10"/>
        <v>0</v>
      </c>
      <c r="AL30" s="166">
        <f t="shared" si="11"/>
        <v>0</v>
      </c>
      <c r="AM30" s="129"/>
      <c r="AN30" s="166">
        <f t="shared" si="46"/>
        <v>0</v>
      </c>
      <c r="AO30" s="166">
        <f t="shared" si="47"/>
        <v>0</v>
      </c>
      <c r="AP30" s="166">
        <f t="shared" si="48"/>
        <v>0</v>
      </c>
      <c r="AQ30" s="166">
        <f t="shared" si="49"/>
        <v>0</v>
      </c>
      <c r="AR30" s="166">
        <f t="shared" si="50"/>
        <v>0</v>
      </c>
      <c r="AS30" s="166">
        <f t="shared" si="51"/>
        <v>0</v>
      </c>
      <c r="AT30" s="166">
        <f t="shared" si="78"/>
        <v>0</v>
      </c>
      <c r="AU30" s="133">
        <f t="shared" si="52"/>
        <v>0</v>
      </c>
      <c r="AV30" s="237" t="str">
        <f>IF(AT30&lt;0,"Fel i indata","")</f>
        <v/>
      </c>
      <c r="AW30" s="163">
        <f t="shared" si="54"/>
        <v>0</v>
      </c>
      <c r="AX30" s="237" t="str">
        <f t="shared" si="55"/>
        <v/>
      </c>
      <c r="AY30" s="22"/>
      <c r="AZ30" s="49">
        <f t="shared" si="12"/>
        <v>0</v>
      </c>
      <c r="BA30" s="49">
        <f t="shared" si="13"/>
        <v>0</v>
      </c>
      <c r="BB30" s="49">
        <f t="shared" si="14"/>
        <v>0</v>
      </c>
      <c r="BC30" s="49">
        <f t="shared" si="15"/>
        <v>0</v>
      </c>
      <c r="BD30" s="49">
        <f t="shared" si="16"/>
        <v>0</v>
      </c>
      <c r="BE30" s="50">
        <f t="shared" si="56"/>
        <v>0</v>
      </c>
      <c r="BF30" s="22"/>
      <c r="BH30" s="22" t="str">
        <f t="shared" ca="1" si="17"/>
        <v>okt</v>
      </c>
      <c r="BI30" s="44">
        <f t="shared" ca="1" si="18"/>
        <v>10</v>
      </c>
      <c r="BJ30" s="44">
        <f t="shared" ca="1" si="19"/>
        <v>0</v>
      </c>
      <c r="BK30" s="44">
        <f t="shared" ca="1" si="20"/>
        <v>0</v>
      </c>
      <c r="BL30" s="45" t="str">
        <f t="shared" ca="1" si="21"/>
        <v>dec</v>
      </c>
      <c r="BM30" s="45">
        <f t="shared" ca="1" si="57"/>
        <v>1</v>
      </c>
      <c r="BN30" s="49">
        <f t="shared" ca="1" si="58"/>
        <v>0</v>
      </c>
      <c r="BO30" s="49">
        <f t="shared" ca="1" si="22"/>
        <v>0</v>
      </c>
      <c r="BP30" s="49">
        <f t="shared" ca="1" si="22"/>
        <v>0</v>
      </c>
      <c r="BQ30" s="49">
        <f t="shared" ca="1" si="22"/>
        <v>0</v>
      </c>
      <c r="BR30" s="49">
        <f t="shared" ca="1" si="22"/>
        <v>0</v>
      </c>
      <c r="BS30" s="50">
        <f t="shared" ca="1" si="59"/>
        <v>0</v>
      </c>
      <c r="BT30" s="46">
        <f t="shared" ca="1" si="23"/>
        <v>0</v>
      </c>
      <c r="BU30" s="46">
        <f t="shared" ca="1" si="24"/>
        <v>0</v>
      </c>
      <c r="BV30" s="46">
        <f t="shared" ca="1" si="25"/>
        <v>0</v>
      </c>
      <c r="BW30" s="46">
        <f t="shared" ca="1" si="26"/>
        <v>0</v>
      </c>
      <c r="BX30" s="46">
        <f t="shared" ca="1" si="27"/>
        <v>0</v>
      </c>
      <c r="BY30" s="46"/>
      <c r="BZ30" s="45" t="str">
        <f t="shared" ca="1" si="60"/>
        <v>dec</v>
      </c>
      <c r="CA30" s="45">
        <f t="shared" ca="1" si="61"/>
        <v>1</v>
      </c>
      <c r="CB30" s="49">
        <f t="shared" ca="1" si="28"/>
        <v>0</v>
      </c>
      <c r="CC30" s="49">
        <f t="shared" ca="1" si="29"/>
        <v>0</v>
      </c>
      <c r="CD30" s="49">
        <f t="shared" ca="1" si="30"/>
        <v>0</v>
      </c>
      <c r="CE30" s="49">
        <f t="shared" ca="1" si="31"/>
        <v>0</v>
      </c>
      <c r="CF30" s="49">
        <f t="shared" ca="1" si="32"/>
        <v>0</v>
      </c>
      <c r="CG30" s="50">
        <f t="shared" ca="1" si="62"/>
        <v>0</v>
      </c>
      <c r="CI30" s="24"/>
      <c r="CJ30" s="50">
        <f t="shared" ca="1" si="33"/>
        <v>0</v>
      </c>
      <c r="CK30" s="50">
        <f t="shared" ca="1" si="34"/>
        <v>0</v>
      </c>
      <c r="CL30" s="50">
        <f t="shared" ca="1" si="35"/>
        <v>0</v>
      </c>
      <c r="CM30" s="50">
        <f t="shared" ca="1" si="36"/>
        <v>0</v>
      </c>
      <c r="CN30" s="50">
        <f t="shared" ca="1" si="37"/>
        <v>0</v>
      </c>
      <c r="CO30" s="50">
        <f t="shared" ca="1" si="63"/>
        <v>0</v>
      </c>
      <c r="CP30" s="22"/>
      <c r="CQ30" s="32" t="str">
        <f t="shared" ca="1" si="38"/>
        <v>202112</v>
      </c>
      <c r="CR30" s="32">
        <f ca="1">MATCH(Mätvärden!CQ30,Normalår!$R$5:$R$200,0)-1</f>
        <v>83</v>
      </c>
      <c r="CS30" s="47">
        <f ca="1">OFFSET(Normalår!$S$5,CR30,0)</f>
        <v>0.85795951765121925</v>
      </c>
      <c r="CU30" s="49">
        <f t="shared" ca="1" si="64"/>
        <v>0</v>
      </c>
      <c r="CV30" s="49">
        <f t="shared" ca="1" si="65"/>
        <v>0</v>
      </c>
      <c r="CW30" s="49">
        <f t="shared" ca="1" si="66"/>
        <v>0</v>
      </c>
      <c r="CX30" s="49">
        <f t="shared" ca="1" si="67"/>
        <v>0</v>
      </c>
      <c r="CY30" s="49">
        <f ca="1">CN30*CS30</f>
        <v>0</v>
      </c>
      <c r="CZ30" s="50">
        <f t="shared" ca="1" si="69"/>
        <v>0</v>
      </c>
      <c r="DB30" s="48"/>
      <c r="DD30" s="50">
        <f t="shared" ca="1" si="70"/>
        <v>0</v>
      </c>
      <c r="DE30" s="50">
        <f t="shared" ca="1" si="71"/>
        <v>0</v>
      </c>
      <c r="DF30" s="50">
        <f t="shared" ca="1" si="72"/>
        <v>0</v>
      </c>
      <c r="DG30" s="50">
        <f t="shared" ca="1" si="73"/>
        <v>0</v>
      </c>
      <c r="DH30" s="50">
        <f t="shared" ca="1" si="74"/>
        <v>0</v>
      </c>
      <c r="DI30" s="50">
        <f t="shared" ca="1" si="75"/>
        <v>0</v>
      </c>
      <c r="DM30" s="50">
        <f t="shared" ca="1" si="39"/>
        <v>0</v>
      </c>
      <c r="DN30" s="50">
        <f t="shared" ca="1" si="40"/>
        <v>0</v>
      </c>
      <c r="DO30" s="50">
        <f t="shared" ca="1" si="41"/>
        <v>0</v>
      </c>
      <c r="DP30" s="50">
        <f t="shared" ca="1" si="42"/>
        <v>0</v>
      </c>
      <c r="DQ30" s="50">
        <f t="shared" ca="1" si="43"/>
        <v>0</v>
      </c>
      <c r="DR30" s="50">
        <f t="shared" ca="1" si="76"/>
        <v>0</v>
      </c>
    </row>
    <row r="31" spans="1:156" ht="16.5" customHeight="1" thickTop="1" x14ac:dyDescent="0.25">
      <c r="G31" s="3"/>
      <c r="H31" s="3"/>
      <c r="I31" s="51">
        <f>SUM(I19:I30)</f>
        <v>0</v>
      </c>
      <c r="J31" s="51">
        <f>SUM(J19:J30)</f>
        <v>0</v>
      </c>
      <c r="K31" s="3"/>
      <c r="L31" s="51">
        <f>SUM(L19:L30)</f>
        <v>0</v>
      </c>
      <c r="M31" s="51">
        <f>SUM(M19:M30)</f>
        <v>0</v>
      </c>
      <c r="O31" s="51">
        <f>SUM(O19:O30)</f>
        <v>0</v>
      </c>
      <c r="P31" s="51">
        <f>SUM(P19:P30)</f>
        <v>0</v>
      </c>
      <c r="X31" s="110" t="s">
        <v>1295</v>
      </c>
      <c r="Y31" s="167">
        <f t="shared" ref="Y31:AD31" si="79">SUM(Y19:Y30)</f>
        <v>0</v>
      </c>
      <c r="Z31" s="167">
        <f t="shared" si="79"/>
        <v>0</v>
      </c>
      <c r="AA31" s="168">
        <f t="shared" si="79"/>
        <v>0</v>
      </c>
      <c r="AB31" s="168">
        <f t="shared" si="79"/>
        <v>0</v>
      </c>
      <c r="AC31" s="168">
        <f t="shared" si="79"/>
        <v>0</v>
      </c>
      <c r="AD31" s="167">
        <f t="shared" si="79"/>
        <v>0</v>
      </c>
      <c r="AE31" s="236"/>
      <c r="AF31" s="110" t="s">
        <v>1295</v>
      </c>
      <c r="AG31" s="167">
        <f t="shared" ref="AG31:AL31" si="80">SUM(AG19:AG30)</f>
        <v>0</v>
      </c>
      <c r="AH31" s="167">
        <f t="shared" si="80"/>
        <v>0</v>
      </c>
      <c r="AI31" s="168">
        <f t="shared" si="80"/>
        <v>0</v>
      </c>
      <c r="AJ31" s="168">
        <f t="shared" si="80"/>
        <v>0</v>
      </c>
      <c r="AK31" s="168">
        <f t="shared" si="80"/>
        <v>0</v>
      </c>
      <c r="AL31" s="167">
        <f t="shared" si="80"/>
        <v>0</v>
      </c>
      <c r="AM31" s="129"/>
      <c r="AN31" s="167">
        <f t="shared" ref="AN31:AU31" si="81">SUM(AN19:AN30)</f>
        <v>0</v>
      </c>
      <c r="AO31" s="167">
        <f t="shared" si="81"/>
        <v>0</v>
      </c>
      <c r="AP31" s="167">
        <f t="shared" si="81"/>
        <v>0</v>
      </c>
      <c r="AQ31" s="167">
        <f t="shared" si="81"/>
        <v>0</v>
      </c>
      <c r="AR31" s="167">
        <f t="shared" si="81"/>
        <v>0</v>
      </c>
      <c r="AS31" s="167">
        <f t="shared" si="81"/>
        <v>0</v>
      </c>
      <c r="AT31" s="167">
        <f t="shared" si="81"/>
        <v>0</v>
      </c>
      <c r="AU31" s="167">
        <f t="shared" si="81"/>
        <v>0</v>
      </c>
      <c r="AW31" s="167">
        <f>SUM(AW19:AW30)</f>
        <v>0</v>
      </c>
      <c r="AY31" s="24" t="s">
        <v>1295</v>
      </c>
      <c r="AZ31" s="52">
        <f t="shared" ref="AZ31:BE31" si="82">SUM(AZ19:AZ30)</f>
        <v>0</v>
      </c>
      <c r="BA31" s="52">
        <f t="shared" si="82"/>
        <v>0</v>
      </c>
      <c r="BB31" s="52">
        <f t="shared" si="82"/>
        <v>0</v>
      </c>
      <c r="BC31" s="52">
        <f t="shared" si="82"/>
        <v>0</v>
      </c>
      <c r="BD31" s="53">
        <f t="shared" si="82"/>
        <v>0</v>
      </c>
      <c r="BE31" s="52">
        <f t="shared" si="82"/>
        <v>0</v>
      </c>
      <c r="BF31" s="22"/>
      <c r="BG31" s="22"/>
      <c r="BH31" s="22"/>
      <c r="BI31" s="22"/>
      <c r="BJ31" s="22"/>
      <c r="BK31" s="44">
        <f ca="1">SUM(BK19:BK30)</f>
        <v>2880</v>
      </c>
      <c r="BM31" s="24" t="s">
        <v>1295</v>
      </c>
      <c r="BN31" s="54">
        <f t="shared" ref="BN31:BS31" ca="1" si="83">SUM(BN19:BN30)</f>
        <v>0</v>
      </c>
      <c r="BO31" s="54">
        <f t="shared" ca="1" si="83"/>
        <v>0</v>
      </c>
      <c r="BP31" s="54">
        <f t="shared" ca="1" si="83"/>
        <v>0</v>
      </c>
      <c r="BQ31" s="53">
        <f t="shared" ca="1" si="83"/>
        <v>0</v>
      </c>
      <c r="BR31" s="53">
        <f t="shared" ca="1" si="83"/>
        <v>0</v>
      </c>
      <c r="BS31" s="54">
        <f t="shared" ca="1" si="83"/>
        <v>0</v>
      </c>
      <c r="BT31" s="55"/>
      <c r="BU31" s="55"/>
      <c r="BV31" s="55"/>
      <c r="BW31" s="55"/>
      <c r="BX31" s="55"/>
      <c r="BY31" s="55"/>
      <c r="CA31" s="24" t="s">
        <v>1295</v>
      </c>
      <c r="CB31" s="54">
        <f t="shared" ref="CB31:CG31" ca="1" si="84">SUM(CB19:CB30)</f>
        <v>0</v>
      </c>
      <c r="CC31" s="54">
        <f t="shared" ca="1" si="84"/>
        <v>0</v>
      </c>
      <c r="CD31" s="54">
        <f t="shared" ca="1" si="84"/>
        <v>0</v>
      </c>
      <c r="CE31" s="54">
        <f t="shared" ca="1" si="84"/>
        <v>0</v>
      </c>
      <c r="CF31" s="54">
        <f t="shared" ca="1" si="84"/>
        <v>0</v>
      </c>
      <c r="CG31" s="54">
        <f t="shared" ca="1" si="84"/>
        <v>0</v>
      </c>
      <c r="CI31" s="24" t="s">
        <v>1295</v>
      </c>
      <c r="CJ31" s="52">
        <f t="shared" ref="CJ31:CO31" ca="1" si="85">SUM(CJ19:CJ30)</f>
        <v>0</v>
      </c>
      <c r="CK31" s="52">
        <f t="shared" ca="1" si="85"/>
        <v>0</v>
      </c>
      <c r="CL31" s="52">
        <f t="shared" ca="1" si="85"/>
        <v>0</v>
      </c>
      <c r="CM31" s="52">
        <f t="shared" ca="1" si="85"/>
        <v>0</v>
      </c>
      <c r="CN31" s="52">
        <f t="shared" ca="1" si="85"/>
        <v>0</v>
      </c>
      <c r="CO31" s="52">
        <f t="shared" ca="1" si="85"/>
        <v>0</v>
      </c>
      <c r="CP31" s="22"/>
      <c r="CQ31" s="22"/>
      <c r="CR31" s="22"/>
      <c r="CS31" s="22"/>
      <c r="CT31" s="24" t="s">
        <v>1295</v>
      </c>
      <c r="CU31" s="52">
        <f t="shared" ref="CU31:CZ31" ca="1" si="86">SUM(CU19:CU30)</f>
        <v>0</v>
      </c>
      <c r="CV31" s="52">
        <f t="shared" ca="1" si="86"/>
        <v>0</v>
      </c>
      <c r="CW31" s="52">
        <f t="shared" ca="1" si="86"/>
        <v>0</v>
      </c>
      <c r="CX31" s="52">
        <f t="shared" ca="1" si="86"/>
        <v>0</v>
      </c>
      <c r="CY31" s="52">
        <f t="shared" ca="1" si="86"/>
        <v>0</v>
      </c>
      <c r="CZ31" s="52">
        <f t="shared" ca="1" si="86"/>
        <v>0</v>
      </c>
      <c r="DB31" s="48"/>
      <c r="DC31" s="24" t="s">
        <v>1295</v>
      </c>
      <c r="DD31" s="56">
        <f t="shared" ref="DD31:DH31" ca="1" si="87">SUM(DD19:DD30)</f>
        <v>0</v>
      </c>
      <c r="DE31" s="56">
        <f t="shared" ca="1" si="87"/>
        <v>0</v>
      </c>
      <c r="DF31" s="56">
        <f t="shared" ca="1" si="87"/>
        <v>0</v>
      </c>
      <c r="DG31" s="56">
        <f t="shared" ca="1" si="87"/>
        <v>0</v>
      </c>
      <c r="DH31" s="56">
        <f t="shared" ca="1" si="87"/>
        <v>0</v>
      </c>
      <c r="DI31" s="56">
        <f ca="1">SUM(DI19:DI30)</f>
        <v>0</v>
      </c>
      <c r="DL31" s="24" t="s">
        <v>1295</v>
      </c>
      <c r="DM31" s="56">
        <f ca="1">SUM(DM19:DM30)</f>
        <v>0</v>
      </c>
      <c r="DN31" s="56">
        <f t="shared" ref="DN31:DQ31" ca="1" si="88">SUM(DN19:DN30)</f>
        <v>0</v>
      </c>
      <c r="DO31" s="56">
        <f t="shared" ca="1" si="88"/>
        <v>0</v>
      </c>
      <c r="DP31" s="56">
        <f t="shared" ca="1" si="88"/>
        <v>0</v>
      </c>
      <c r="DQ31" s="56">
        <f t="shared" ca="1" si="88"/>
        <v>0</v>
      </c>
      <c r="DR31" s="56">
        <f ca="1">SUM(DR19:DR30)</f>
        <v>0</v>
      </c>
      <c r="EI31" s="80" t="str">
        <f>G41</f>
        <v>jan</v>
      </c>
    </row>
    <row r="32" spans="1:156" ht="16.5" customHeight="1" x14ac:dyDescent="0.25">
      <c r="G32" s="3"/>
      <c r="H32" s="3"/>
      <c r="I32" s="51"/>
      <c r="J32" s="3"/>
      <c r="K32" s="3"/>
      <c r="L32" s="51"/>
      <c r="O32" s="51"/>
      <c r="X32" s="110" t="s">
        <v>1375</v>
      </c>
      <c r="Y32" s="167">
        <f>IF($J$14=$Y$18,$I$31*$J$15,0)+IF($M$14=$Y$18,$L$31*$M$15,0)+IF($P$14=$Y$18,$O$31*$P$15,0)</f>
        <v>0</v>
      </c>
      <c r="Z32" s="167">
        <f>IF(OR($J$14="El-panna",$J$14="Värmepump"),$I$31*$J$15,0)+IF(OR($M$14="El-panna",$M$14="Värmepump"),$L$31*$M$15,0)+IF(OR($P$14="El-panna",$P$14="Värmepump"),$O$31*$P$15,0)</f>
        <v>0</v>
      </c>
      <c r="AA32" s="168">
        <f>IF(OR($J$14="Flispanna",$J$14="Pelletspanna",$J$14="Vedpanna"),$I$31*$J$15,0)+IF(OR($M$14="Flispanna",$M$14="Pelletspanna",$M$14="Vedpanna"),$L$31*$M$15,0)+IF(OR($P$14="Flispanna",$P$14="Pelletspanna",$P$14="Vedpanna"),$O$31*$P$15,0)</f>
        <v>0</v>
      </c>
      <c r="AB32" s="168">
        <f>IF($J$14="Gaspanna",$I$31*$J$15,0)+IF(M14="Gaspanna",$L$31*$M$15,0)+IF(P14="Gaspanna",$O$31*$P$15,0)</f>
        <v>0</v>
      </c>
      <c r="AC32" s="168">
        <f>IF($J$14="Oljepanna",$I$31*$J$15,0)+IF($M$14="Oljepanna",$L$31*$M$15,0)+IF($P$14="Oljepanna",$O$31*$P$15,0)</f>
        <v>0</v>
      </c>
      <c r="AD32" s="167">
        <f>SUM(Y32:AC32)</f>
        <v>0</v>
      </c>
      <c r="AE32" s="236"/>
      <c r="AF32" s="110" t="s">
        <v>1375</v>
      </c>
      <c r="AG32" s="167">
        <f>Y32+AG78</f>
        <v>0</v>
      </c>
      <c r="AH32" s="167">
        <f t="shared" ref="AH32:AK32" si="89">Z32+AH78</f>
        <v>0</v>
      </c>
      <c r="AI32" s="167">
        <f t="shared" si="89"/>
        <v>0</v>
      </c>
      <c r="AJ32" s="167">
        <f t="shared" si="89"/>
        <v>0</v>
      </c>
      <c r="AK32" s="167">
        <f t="shared" si="89"/>
        <v>0</v>
      </c>
      <c r="AL32" s="167">
        <f>SUM(AG32:AK32)</f>
        <v>0</v>
      </c>
      <c r="AM32" s="104" t="s">
        <v>1311</v>
      </c>
      <c r="AN32" s="230">
        <f>IF(Y31&gt;0,AG32/AG31,0)</f>
        <v>0</v>
      </c>
      <c r="AO32" s="230">
        <f t="shared" ref="AO32:AR32" si="90">IF(Z31&gt;0,AH32/AH31,0)</f>
        <v>0</v>
      </c>
      <c r="AP32" s="230">
        <f t="shared" si="90"/>
        <v>0</v>
      </c>
      <c r="AQ32" s="230">
        <f t="shared" si="90"/>
        <v>0</v>
      </c>
      <c r="AR32" s="230">
        <f t="shared" si="90"/>
        <v>0</v>
      </c>
      <c r="AS32" s="162"/>
      <c r="AT32" s="162"/>
      <c r="AW32" s="162"/>
      <c r="AY32" s="22"/>
      <c r="AZ32" s="22"/>
      <c r="BA32" s="22"/>
      <c r="BB32" s="22"/>
      <c r="BC32" s="22"/>
      <c r="BD32" s="22"/>
      <c r="BE32" s="22"/>
      <c r="BF32" s="22"/>
      <c r="BG32" s="22"/>
      <c r="BH32" s="22"/>
      <c r="BI32" s="22"/>
      <c r="BJ32" s="22"/>
      <c r="BK32" s="22"/>
      <c r="BM32" s="24" t="s">
        <v>1108</v>
      </c>
      <c r="BN32" s="47">
        <f ca="1">IF($BS$31&gt;0,BN31/$BS$31,0)</f>
        <v>0</v>
      </c>
      <c r="BO32" s="47">
        <f t="shared" ref="BO32:BR32" ca="1" si="91">IF($BS$31&gt;0,BO31/$BS$31,0)</f>
        <v>0</v>
      </c>
      <c r="BP32" s="47">
        <f t="shared" ca="1" si="91"/>
        <v>0</v>
      </c>
      <c r="BQ32" s="47">
        <f t="shared" ca="1" si="91"/>
        <v>0</v>
      </c>
      <c r="BR32" s="47">
        <f t="shared" ca="1" si="91"/>
        <v>0</v>
      </c>
      <c r="CA32" s="24" t="s">
        <v>1108</v>
      </c>
      <c r="CB32" s="47">
        <f ca="1">IF($CG$31&gt;0,CB31/$CG$31,0)</f>
        <v>0</v>
      </c>
      <c r="CC32" s="47">
        <f t="shared" ref="CC32:CF32" ca="1" si="92">IF($CG$31&gt;0,CC31/$CG$31,0)</f>
        <v>0</v>
      </c>
      <c r="CD32" s="47">
        <f t="shared" ca="1" si="92"/>
        <v>0</v>
      </c>
      <c r="CE32" s="47">
        <f t="shared" ca="1" si="92"/>
        <v>0</v>
      </c>
      <c r="CF32" s="47">
        <f t="shared" ca="1" si="92"/>
        <v>0</v>
      </c>
      <c r="CH32" s="57" t="s">
        <v>1184</v>
      </c>
      <c r="CI32" s="24" t="s">
        <v>1108</v>
      </c>
      <c r="CJ32" s="47">
        <f ca="1">IF($CO$31&gt;0,CJ31/$CO$31,0)</f>
        <v>0</v>
      </c>
      <c r="CK32" s="47">
        <f t="shared" ref="CK32:CN32" ca="1" si="93">IF($CO$31&gt;0,CK31/$CO$31,0)</f>
        <v>0</v>
      </c>
      <c r="CL32" s="47">
        <f t="shared" ca="1" si="93"/>
        <v>0</v>
      </c>
      <c r="CM32" s="47">
        <f t="shared" ca="1" si="93"/>
        <v>0</v>
      </c>
      <c r="CN32" s="47">
        <f t="shared" ca="1" si="93"/>
        <v>0</v>
      </c>
      <c r="CP32" s="57" t="s">
        <v>1184</v>
      </c>
      <c r="CQ32" s="22"/>
      <c r="CR32" s="22"/>
      <c r="CS32" s="22"/>
      <c r="CT32" s="24" t="s">
        <v>1108</v>
      </c>
      <c r="CU32" s="47">
        <f ca="1">IF($CZ$31&gt;0,CU31/$CZ$31,0)</f>
        <v>0</v>
      </c>
      <c r="CV32" s="47">
        <f t="shared" ref="CV32:CX32" ca="1" si="94">IF($CZ$31&gt;0,CV31/$CZ$31,0)</f>
        <v>0</v>
      </c>
      <c r="CW32" s="47">
        <f t="shared" ca="1" si="94"/>
        <v>0</v>
      </c>
      <c r="CX32" s="47">
        <f t="shared" ca="1" si="94"/>
        <v>0</v>
      </c>
      <c r="CY32" s="47">
        <f ca="1">IF($CZ$31&gt;0,CY31/$CZ$31,0)</f>
        <v>0</v>
      </c>
      <c r="DB32" s="22"/>
      <c r="DC32" s="24" t="s">
        <v>1375</v>
      </c>
      <c r="DD32" s="30">
        <f ca="1">IF(DD31&gt;0,DD31*(Y32/Y31),0)</f>
        <v>0</v>
      </c>
      <c r="DE32" s="30">
        <f ca="1">IF(DE31&gt;0,DE31*(Z32/Z31),0)</f>
        <v>0</v>
      </c>
      <c r="DF32" s="30">
        <f ca="1">IF(DF31&gt;0,DF31*(AA32/AA31),0)</f>
        <v>0</v>
      </c>
      <c r="DG32" s="30">
        <f ca="1">IF(DG31&gt;0,DG31*(AB32/AB31),0)</f>
        <v>0</v>
      </c>
      <c r="DH32" s="30">
        <f ca="1">IF(DH31&gt;0,DH31*(AC32/AC31),0)</f>
        <v>0</v>
      </c>
      <c r="DI32" s="30">
        <f ca="1">SUM(DD32:DH32)</f>
        <v>0</v>
      </c>
      <c r="DL32" s="24" t="s">
        <v>1375</v>
      </c>
      <c r="DM32" s="30">
        <f ca="1">IF(DM31&gt;0,DM31*(Y32/Y31),0)</f>
        <v>0</v>
      </c>
      <c r="DN32" s="30">
        <f ca="1">IF(DN31&gt;0,DN31*(Z32/Z31),0)</f>
        <v>0</v>
      </c>
      <c r="DO32" s="30">
        <f ca="1">IF(DO31&gt;0,DO31*(AA32/AA31),0)</f>
        <v>0</v>
      </c>
      <c r="DP32" s="30">
        <f ca="1">IF(DP31&gt;0,DP31*(AB32/AB31),0)</f>
        <v>0</v>
      </c>
      <c r="DQ32" s="30">
        <f ca="1">IF(DQ31&gt;0,DQ31*(AC32/AC31),0)</f>
        <v>0</v>
      </c>
      <c r="DR32" s="30">
        <f ca="1">SUM(DM32:DQ32)</f>
        <v>0</v>
      </c>
      <c r="EI32" s="162">
        <f>MATCH(EI31,EI3:EI14,0)</f>
        <v>1</v>
      </c>
    </row>
    <row r="33" spans="2:139" ht="16.5" customHeight="1" x14ac:dyDescent="0.25">
      <c r="G33" s="3"/>
      <c r="H33" s="3"/>
      <c r="I33" s="51"/>
      <c r="J33" s="3"/>
      <c r="K33" s="3"/>
      <c r="L33" s="51"/>
      <c r="O33" s="51"/>
      <c r="X33" s="104" t="s">
        <v>1195</v>
      </c>
      <c r="Y33" s="169">
        <f>IF($AD$32&gt;0,Y32/$AD$32,0)</f>
        <v>0</v>
      </c>
      <c r="Z33" s="169">
        <f t="shared" ref="Z33:AC33" si="95">IF($AD$32&gt;0,Z32/$AD$32,0)</f>
        <v>0</v>
      </c>
      <c r="AA33" s="169">
        <f t="shared" si="95"/>
        <v>0</v>
      </c>
      <c r="AB33" s="169">
        <f t="shared" si="95"/>
        <v>0</v>
      </c>
      <c r="AC33" s="169">
        <f t="shared" si="95"/>
        <v>0</v>
      </c>
      <c r="AE33" s="236"/>
      <c r="AF33" s="104" t="s">
        <v>1195</v>
      </c>
      <c r="AG33" s="169">
        <f>IF($AL$32&gt;0,AG32/$AL$32,0)</f>
        <v>0</v>
      </c>
      <c r="AH33" s="169">
        <f t="shared" ref="AH33:AK33" si="96">IF($AL$32&gt;0,AH32/$AL$32,0)</f>
        <v>0</v>
      </c>
      <c r="AI33" s="169">
        <f t="shared" si="96"/>
        <v>0</v>
      </c>
      <c r="AJ33" s="169">
        <f t="shared" si="96"/>
        <v>0</v>
      </c>
      <c r="AK33" s="169">
        <f t="shared" si="96"/>
        <v>0</v>
      </c>
      <c r="AM33" s="104" t="s">
        <v>1195</v>
      </c>
      <c r="AN33" s="131">
        <f>IF($AS$31&gt;0,AN31/$AS$31,0)</f>
        <v>0</v>
      </c>
      <c r="AO33" s="131">
        <f t="shared" ref="AO33:AR33" si="97">IF($AS$31&gt;0,AO31/$AS$31,0)</f>
        <v>0</v>
      </c>
      <c r="AP33" s="131">
        <f t="shared" si="97"/>
        <v>0</v>
      </c>
      <c r="AQ33" s="131">
        <f t="shared" si="97"/>
        <v>0</v>
      </c>
      <c r="AR33" s="131">
        <f t="shared" si="97"/>
        <v>0</v>
      </c>
      <c r="AS33" s="162"/>
      <c r="AT33" s="162"/>
      <c r="AV33" s="162"/>
      <c r="AW33" s="162"/>
      <c r="AX33" s="162"/>
      <c r="AY33" s="22"/>
      <c r="AZ33" s="22"/>
      <c r="BA33" s="22"/>
      <c r="BB33" s="22"/>
      <c r="BC33" s="22"/>
      <c r="BD33" s="22"/>
      <c r="BE33" s="22"/>
      <c r="BF33" s="22"/>
      <c r="BG33" s="22"/>
      <c r="BH33" s="22"/>
      <c r="BI33" s="22"/>
      <c r="BJ33" s="22"/>
      <c r="BK33" s="22"/>
      <c r="CA33" s="24" t="s">
        <v>1183</v>
      </c>
      <c r="CB33" s="27">
        <f ca="1">CB31-CB15</f>
        <v>0</v>
      </c>
      <c r="CC33" s="27">
        <f ca="1">CC31-CC15</f>
        <v>0</v>
      </c>
      <c r="CD33" s="27">
        <f ca="1">CD31-CD15</f>
        <v>0</v>
      </c>
      <c r="CE33" s="27">
        <f ca="1">CE31-CE15</f>
        <v>0</v>
      </c>
      <c r="CF33" s="27">
        <f ca="1">CF31-CF15</f>
        <v>0</v>
      </c>
      <c r="CG33" s="27">
        <f ca="1">CG31-CB15-CC15</f>
        <v>0</v>
      </c>
      <c r="CH33" s="125">
        <f ca="1">CG31-CG33</f>
        <v>0</v>
      </c>
      <c r="CI33" s="24" t="s">
        <v>1185</v>
      </c>
      <c r="CJ33" s="27">
        <f ca="1">CJ31-CJ15</f>
        <v>0</v>
      </c>
      <c r="CK33" s="27">
        <f ca="1">CK31-CK15</f>
        <v>0</v>
      </c>
      <c r="CL33" s="27">
        <f ca="1">CL31-CL15</f>
        <v>0</v>
      </c>
      <c r="CM33" s="27">
        <f ca="1">CM31-CM15</f>
        <v>0</v>
      </c>
      <c r="CN33" s="27">
        <f ca="1">CN31-CN15</f>
        <v>0</v>
      </c>
      <c r="CO33" s="27">
        <f ca="1">CO31-CJ15-CK15</f>
        <v>0</v>
      </c>
      <c r="CP33" s="125">
        <f ca="1">CO31-CO33</f>
        <v>0</v>
      </c>
      <c r="DB33" s="22"/>
      <c r="DC33" s="24" t="s">
        <v>1436</v>
      </c>
      <c r="DD33" s="30">
        <f ca="1">DD32+AG78</f>
        <v>0</v>
      </c>
      <c r="DE33" s="30">
        <f ca="1">DE32+AH78</f>
        <v>0</v>
      </c>
      <c r="DF33" s="30">
        <f ca="1">DF32+AI78</f>
        <v>0</v>
      </c>
      <c r="DG33" s="30">
        <f ca="1">DG32+AJ78</f>
        <v>0</v>
      </c>
      <c r="DH33" s="30">
        <f ca="1">DH32+AK78</f>
        <v>0</v>
      </c>
      <c r="DI33" s="30">
        <f ca="1">SUM(DD33:DH33)</f>
        <v>0</v>
      </c>
      <c r="DL33" s="24" t="s">
        <v>1436</v>
      </c>
      <c r="DM33" s="30">
        <f ca="1">DD32+AG78</f>
        <v>0</v>
      </c>
      <c r="DN33" s="30">
        <f t="shared" ref="DN33:DQ33" ca="1" si="98">DE32+AH78</f>
        <v>0</v>
      </c>
      <c r="DO33" s="30">
        <f t="shared" ca="1" si="98"/>
        <v>0</v>
      </c>
      <c r="DP33" s="30">
        <f t="shared" ca="1" si="98"/>
        <v>0</v>
      </c>
      <c r="DQ33" s="30">
        <f t="shared" ca="1" si="98"/>
        <v>0</v>
      </c>
      <c r="DR33" s="30">
        <f ca="1">SUM(DM33:DQ33)</f>
        <v>0</v>
      </c>
    </row>
    <row r="34" spans="2:139" ht="16.5" customHeight="1" x14ac:dyDescent="0.25">
      <c r="G34" s="3"/>
      <c r="H34" s="3"/>
      <c r="I34" s="51"/>
      <c r="J34" s="3"/>
      <c r="K34" s="3"/>
      <c r="L34" s="51"/>
      <c r="O34" s="51"/>
      <c r="X34" s="110" t="s">
        <v>1376</v>
      </c>
      <c r="Y34" s="163">
        <f>(Y32-$AD$142*Y33)</f>
        <v>0</v>
      </c>
      <c r="Z34" s="163">
        <f>(Z32-$AD$142*Z33)</f>
        <v>0</v>
      </c>
      <c r="AA34" s="163">
        <f>(AA32-$AD$142*AA33)</f>
        <v>0</v>
      </c>
      <c r="AB34" s="163">
        <f>(AB32-$AD$142*AB33)</f>
        <v>0</v>
      </c>
      <c r="AC34" s="163">
        <f>(AC32-$AD$142*AC33)</f>
        <v>0</v>
      </c>
      <c r="AD34" s="163">
        <f>SUM(Y34:AC34)</f>
        <v>0</v>
      </c>
      <c r="AE34" s="236"/>
      <c r="AF34" s="110" t="s">
        <v>1376</v>
      </c>
      <c r="AG34" s="163">
        <f>(AG32-$AD$142*AG33)</f>
        <v>0</v>
      </c>
      <c r="AH34" s="163">
        <f t="shared" ref="AH34:AK34" si="99">(AH32-$AD$142*AH33)</f>
        <v>0</v>
      </c>
      <c r="AI34" s="163">
        <f t="shared" si="99"/>
        <v>0</v>
      </c>
      <c r="AJ34" s="163">
        <f t="shared" si="99"/>
        <v>0</v>
      </c>
      <c r="AK34" s="163">
        <f t="shared" si="99"/>
        <v>0</v>
      </c>
      <c r="AL34" s="163">
        <f>SUM(AG34:AK34)</f>
        <v>0</v>
      </c>
      <c r="AM34" s="162"/>
      <c r="AO34" s="162"/>
      <c r="AP34" s="162"/>
      <c r="AQ34" s="162"/>
      <c r="AR34" s="162"/>
      <c r="AS34" s="162"/>
      <c r="AT34" s="162"/>
      <c r="AV34" s="162"/>
      <c r="AW34" s="162"/>
      <c r="AX34" s="162"/>
      <c r="DC34" s="24" t="s">
        <v>1195</v>
      </c>
      <c r="DD34" s="47">
        <f ca="1">IF($DI$33&gt;0,DD33/$DI$33,0)</f>
        <v>0</v>
      </c>
      <c r="DE34" s="47">
        <f ca="1">IF($DI$33&gt;0,DE33/$DI$33,0)</f>
        <v>0</v>
      </c>
      <c r="DF34" s="47">
        <f t="shared" ref="DF34:DG34" ca="1" si="100">IF($DI$33&gt;0,DF33/$DI$33,0)</f>
        <v>0</v>
      </c>
      <c r="DG34" s="47">
        <f t="shared" ca="1" si="100"/>
        <v>0</v>
      </c>
      <c r="DH34" s="47">
        <f ca="1">IF($DI$33&gt;0,DH33/$DI$33,0)</f>
        <v>0</v>
      </c>
      <c r="DI34" s="126"/>
      <c r="DL34" s="24" t="s">
        <v>1195</v>
      </c>
      <c r="DM34" s="127">
        <f ca="1">IF(DR33&gt;0,DM33/$DR$33,0)</f>
        <v>0</v>
      </c>
      <c r="DN34" s="127">
        <f t="shared" ref="DN34:DQ34" si="101">IF(DS33&gt;0,DN33/$DR$33,0)</f>
        <v>0</v>
      </c>
      <c r="DO34" s="127">
        <f t="shared" si="101"/>
        <v>0</v>
      </c>
      <c r="DP34" s="127">
        <f t="shared" si="101"/>
        <v>0</v>
      </c>
      <c r="DQ34" s="127">
        <f t="shared" si="101"/>
        <v>0</v>
      </c>
      <c r="DR34" s="126"/>
    </row>
    <row r="35" spans="2:139" ht="18" customHeight="1" x14ac:dyDescent="0.25">
      <c r="G35" s="3"/>
      <c r="H35" s="3"/>
      <c r="I35" s="3"/>
      <c r="J35" s="3"/>
      <c r="K35" s="3"/>
      <c r="L35" s="3"/>
      <c r="X35" s="110" t="s">
        <v>1377</v>
      </c>
      <c r="Y35" s="163">
        <f>(Y34-($AF$142+$AH$142)*Y33)</f>
        <v>0</v>
      </c>
      <c r="Z35" s="163">
        <f>(Z34-($AF$142+$AH$142)*Z33)</f>
        <v>0</v>
      </c>
      <c r="AA35" s="163">
        <f>(AA34-($AF$142+$AH$142)*AA33)</f>
        <v>0</v>
      </c>
      <c r="AB35" s="163">
        <f>(AB34-($AF$142+$AH$142)*AB33)</f>
        <v>0</v>
      </c>
      <c r="AC35" s="163">
        <f>(AC34-($AF$142+$AH$142)*AC33)</f>
        <v>0</v>
      </c>
      <c r="AD35" s="167">
        <f>SUM(Y35:AC35)</f>
        <v>0</v>
      </c>
      <c r="AE35" s="236"/>
      <c r="AF35" s="110" t="s">
        <v>1377</v>
      </c>
      <c r="AG35" s="163">
        <f>(AG34-($AF$142+$AH$142)*AG33)</f>
        <v>0</v>
      </c>
      <c r="AH35" s="163">
        <f>(AH34-($AF$142+$AH$142)*AH33)</f>
        <v>0</v>
      </c>
      <c r="AI35" s="163">
        <f t="shared" ref="AI35:AK35" si="102">(AI34-($AF$142+$AH$142)*AI33)</f>
        <v>0</v>
      </c>
      <c r="AJ35" s="163">
        <f t="shared" si="102"/>
        <v>0</v>
      </c>
      <c r="AK35" s="163">
        <f t="shared" si="102"/>
        <v>0</v>
      </c>
      <c r="AL35" s="167">
        <f>SUM(AG35:AK35)</f>
        <v>0</v>
      </c>
      <c r="AM35" s="162"/>
      <c r="AN35" s="162"/>
      <c r="AO35" s="162"/>
      <c r="AP35" s="162"/>
      <c r="AQ35" s="162"/>
      <c r="AR35" s="162"/>
      <c r="AS35" s="162"/>
      <c r="AT35" s="162"/>
      <c r="AU35" s="162"/>
      <c r="AV35" s="162"/>
      <c r="AW35" s="162"/>
      <c r="AX35" s="162"/>
      <c r="BA35" s="28"/>
      <c r="BB35" s="185" t="s">
        <v>1390</v>
      </c>
      <c r="BI35" s="185"/>
      <c r="BK35" s="185" t="s">
        <v>1391</v>
      </c>
      <c r="DC35" s="24" t="s">
        <v>1376</v>
      </c>
      <c r="DD35" s="30">
        <f ca="1">(DD33-$AD$142*DD34)</f>
        <v>0</v>
      </c>
      <c r="DE35" s="30">
        <f t="shared" ref="DE35:DH35" ca="1" si="103">(DE33-$AD$142*DE34)</f>
        <v>0</v>
      </c>
      <c r="DF35" s="30">
        <f t="shared" ca="1" si="103"/>
        <v>0</v>
      </c>
      <c r="DG35" s="30">
        <f t="shared" ca="1" si="103"/>
        <v>0</v>
      </c>
      <c r="DH35" s="30">
        <f t="shared" ca="1" si="103"/>
        <v>0</v>
      </c>
      <c r="DI35" s="30">
        <f ca="1">SUM(DD35:DH35)</f>
        <v>0</v>
      </c>
      <c r="DL35" s="186" t="s">
        <v>1439</v>
      </c>
      <c r="DM35" s="30">
        <f ca="1">DM33</f>
        <v>0</v>
      </c>
      <c r="DN35" s="30">
        <f t="shared" ref="DN35:DQ35" ca="1" si="104">DN33</f>
        <v>0</v>
      </c>
      <c r="DO35" s="30">
        <f t="shared" ca="1" si="104"/>
        <v>0</v>
      </c>
      <c r="DP35" s="30">
        <f t="shared" ca="1" si="104"/>
        <v>0</v>
      </c>
      <c r="DQ35" s="30">
        <f t="shared" ca="1" si="104"/>
        <v>0</v>
      </c>
      <c r="DR35" s="30">
        <f t="shared" ref="DR35:DR37" ca="1" si="105">SUM(DM35:DQ35)</f>
        <v>0</v>
      </c>
      <c r="EI35" s="80" t="str">
        <f>G81</f>
        <v>jan</v>
      </c>
    </row>
    <row r="36" spans="2:139" ht="15.75" customHeight="1" thickBot="1" x14ac:dyDescent="0.3">
      <c r="B36" s="254">
        <v>2</v>
      </c>
      <c r="C36" s="255" t="s">
        <v>1257</v>
      </c>
      <c r="D36" s="256"/>
      <c r="E36" s="257"/>
      <c r="F36" s="256"/>
      <c r="G36" s="256"/>
      <c r="H36" s="256"/>
      <c r="I36" s="256"/>
      <c r="J36" s="256"/>
      <c r="K36" s="256"/>
      <c r="L36" s="256"/>
      <c r="M36" s="257"/>
      <c r="N36" s="257"/>
      <c r="O36" s="257"/>
      <c r="P36" s="257"/>
      <c r="Q36" s="257"/>
      <c r="R36" s="257"/>
      <c r="S36" s="257"/>
      <c r="T36" s="257"/>
      <c r="U36" s="257"/>
      <c r="V36" s="257"/>
      <c r="W36" s="258"/>
      <c r="X36" s="110" t="s">
        <v>1378</v>
      </c>
      <c r="Y36" s="163">
        <f>IF(Y33&gt;0,Y35/(Y32/Y31),0)</f>
        <v>0</v>
      </c>
      <c r="Z36" s="163">
        <f t="shared" ref="Z36:AC36" si="106">IF(Z33&gt;0,Z35/(Z32/Z31),0)</f>
        <v>0</v>
      </c>
      <c r="AA36" s="163">
        <f t="shared" si="106"/>
        <v>0</v>
      </c>
      <c r="AB36" s="163">
        <f t="shared" si="106"/>
        <v>0</v>
      </c>
      <c r="AC36" s="163">
        <f t="shared" si="106"/>
        <v>0</v>
      </c>
      <c r="AD36" s="58">
        <f>SUM(Y36:AC36)</f>
        <v>0</v>
      </c>
      <c r="AE36" s="236"/>
      <c r="AF36" s="110" t="s">
        <v>1378</v>
      </c>
      <c r="AG36" s="163">
        <f>IF(AG33&gt;0,AG35/(AG32/AG31),0)</f>
        <v>0</v>
      </c>
      <c r="AH36" s="163">
        <f t="shared" ref="AH36:AK36" si="107">IF(AH33&gt;0,AH35/(AH32/AH31),0)</f>
        <v>0</v>
      </c>
      <c r="AI36" s="163">
        <f t="shared" si="107"/>
        <v>0</v>
      </c>
      <c r="AJ36" s="163">
        <f t="shared" si="107"/>
        <v>0</v>
      </c>
      <c r="AK36" s="163">
        <f t="shared" si="107"/>
        <v>0</v>
      </c>
      <c r="AL36" s="58">
        <f>SUM(AG36:AK36)</f>
        <v>0</v>
      </c>
      <c r="BB36" s="21" t="s">
        <v>1199</v>
      </c>
      <c r="BI36" s="21"/>
      <c r="BK36" s="21" t="s">
        <v>1199</v>
      </c>
      <c r="DC36" s="24" t="s">
        <v>1392</v>
      </c>
      <c r="DD36" s="52">
        <f ca="1">(DD35-($AF$142)*DD34)</f>
        <v>0</v>
      </c>
      <c r="DE36" s="52">
        <f ca="1">(DE35-($AF$142)*DE34)</f>
        <v>0</v>
      </c>
      <c r="DF36" s="52">
        <f ca="1">(DF35-($AF$142)*DF34)</f>
        <v>0</v>
      </c>
      <c r="DG36" s="52">
        <f t="shared" ref="DG36:DH36" ca="1" si="108">(DG35-($AF$142)*DG34)</f>
        <v>0</v>
      </c>
      <c r="DH36" s="52">
        <f t="shared" ca="1" si="108"/>
        <v>0</v>
      </c>
      <c r="DI36" s="52">
        <f ca="1">SUM(DD36:DH36)</f>
        <v>0</v>
      </c>
      <c r="DL36" s="24" t="s">
        <v>1392</v>
      </c>
      <c r="DM36" s="52">
        <f ca="1">(DM35-($AF$142)*DM34)</f>
        <v>0</v>
      </c>
      <c r="DN36" s="52">
        <f t="shared" ref="DN36:DQ36" ca="1" si="109">(DN35-($AF$142)*DN34)</f>
        <v>0</v>
      </c>
      <c r="DO36" s="52">
        <f t="shared" ca="1" si="109"/>
        <v>0</v>
      </c>
      <c r="DP36" s="52">
        <f t="shared" ca="1" si="109"/>
        <v>0</v>
      </c>
      <c r="DQ36" s="52">
        <f t="shared" ca="1" si="109"/>
        <v>0</v>
      </c>
      <c r="DR36" s="52">
        <f t="shared" ca="1" si="105"/>
        <v>0</v>
      </c>
      <c r="EI36" s="80">
        <f>MATCH(EI35,EI3:EI14,0)</f>
        <v>1</v>
      </c>
    </row>
    <row r="37" spans="2:139" ht="16.5" customHeight="1" thickBot="1" x14ac:dyDescent="0.3">
      <c r="B37" s="149"/>
      <c r="C37" s="31"/>
      <c r="D37" s="20"/>
      <c r="F37" s="3"/>
      <c r="G37" s="3"/>
      <c r="H37" s="3"/>
      <c r="I37" s="3"/>
      <c r="J37" s="3"/>
      <c r="K37" s="3"/>
      <c r="L37" s="3"/>
      <c r="X37" s="110" t="s">
        <v>1379</v>
      </c>
      <c r="Y37" s="163">
        <f>Y36</f>
        <v>0</v>
      </c>
      <c r="Z37" s="163">
        <f>Z36-$Z$142</f>
        <v>0</v>
      </c>
      <c r="AA37" s="163">
        <f>AA36</f>
        <v>0</v>
      </c>
      <c r="AB37" s="163">
        <f>AB36</f>
        <v>0</v>
      </c>
      <c r="AC37" s="173">
        <f>AC36</f>
        <v>0</v>
      </c>
      <c r="AD37" s="163">
        <f>SUM(Y37:AC37)</f>
        <v>0</v>
      </c>
      <c r="AE37" s="236"/>
      <c r="AF37" s="110" t="s">
        <v>1379</v>
      </c>
      <c r="AG37" s="163">
        <f>AG36</f>
        <v>0</v>
      </c>
      <c r="AH37" s="163">
        <f>AH36-$Z$142</f>
        <v>0</v>
      </c>
      <c r="AI37" s="163">
        <f>AI36</f>
        <v>0</v>
      </c>
      <c r="AJ37" s="163">
        <f>AJ36</f>
        <v>0</v>
      </c>
      <c r="AK37" s="163">
        <f>AK36</f>
        <v>0</v>
      </c>
      <c r="AL37" s="170">
        <f>SUM(AG37:AK37)</f>
        <v>0</v>
      </c>
      <c r="DC37" s="24" t="s">
        <v>1295</v>
      </c>
      <c r="DD37" s="30">
        <f ca="1">IF(DD36&gt;0,DD36/(AG32/AG31),0)</f>
        <v>0</v>
      </c>
      <c r="DE37" s="30">
        <f ca="1">IF(DE36&gt;0,DE36/(AH32/AH31),0)</f>
        <v>0</v>
      </c>
      <c r="DF37" s="30">
        <f t="shared" ref="DF37:DH37" ca="1" si="110">IF(DF36&gt;0,DF36/(AI32/AI31),0)</f>
        <v>0</v>
      </c>
      <c r="DG37" s="30">
        <f t="shared" ca="1" si="110"/>
        <v>0</v>
      </c>
      <c r="DH37" s="30">
        <f t="shared" ca="1" si="110"/>
        <v>0</v>
      </c>
      <c r="DI37" s="52">
        <f ca="1">SUM(DD37:DH37)</f>
        <v>0</v>
      </c>
      <c r="DL37" s="24" t="s">
        <v>1295</v>
      </c>
      <c r="DM37" s="30">
        <f ca="1">IF(DM36&gt;0,DM36/(AG32/AG31),0)</f>
        <v>0</v>
      </c>
      <c r="DN37" s="30">
        <f t="shared" ref="DN37:DQ37" ca="1" si="111">IF(DN36&gt;0,DN36/(AH32/AH31),0)</f>
        <v>0</v>
      </c>
      <c r="DO37" s="30">
        <f t="shared" ca="1" si="111"/>
        <v>0</v>
      </c>
      <c r="DP37" s="30">
        <f t="shared" ca="1" si="111"/>
        <v>0</v>
      </c>
      <c r="DQ37" s="30">
        <f t="shared" ca="1" si="111"/>
        <v>0</v>
      </c>
      <c r="DR37" s="52">
        <f t="shared" ca="1" si="105"/>
        <v>0</v>
      </c>
    </row>
    <row r="38" spans="2:139" ht="16.5" customHeight="1" x14ac:dyDescent="0.25">
      <c r="C38" s="150" t="s">
        <v>1250</v>
      </c>
      <c r="D38" s="3"/>
      <c r="F38" s="59"/>
      <c r="I38" s="59"/>
      <c r="L38" s="59"/>
      <c r="O38" s="59"/>
      <c r="Y38" s="169"/>
      <c r="Z38" s="169"/>
      <c r="AA38" s="169"/>
      <c r="AB38" s="169"/>
      <c r="AC38" s="169"/>
      <c r="AD38" s="169"/>
      <c r="AE38" s="236"/>
      <c r="AM38" s="128"/>
      <c r="AU38" s="96"/>
      <c r="BB38" s="21" t="s">
        <v>1106</v>
      </c>
      <c r="BK38" s="21" t="s">
        <v>1106</v>
      </c>
      <c r="DC38" s="24" t="s">
        <v>1382</v>
      </c>
      <c r="DD38" s="30">
        <f ca="1">DD37</f>
        <v>0</v>
      </c>
      <c r="DE38" s="30">
        <f ca="1">DE37+$AO$117</f>
        <v>0</v>
      </c>
      <c r="DF38" s="30">
        <f ca="1">DF37</f>
        <v>0</v>
      </c>
      <c r="DG38" s="30">
        <f t="shared" ref="DG38:DH38" ca="1" si="112">DG37</f>
        <v>0</v>
      </c>
      <c r="DH38" s="30">
        <f t="shared" ca="1" si="112"/>
        <v>0</v>
      </c>
      <c r="DI38" s="30">
        <f ca="1">SUM(DD38:DH38)</f>
        <v>0</v>
      </c>
      <c r="DL38" s="24" t="s">
        <v>1382</v>
      </c>
      <c r="DM38" s="52">
        <f ca="1">DM37</f>
        <v>0</v>
      </c>
      <c r="DN38" s="30">
        <f ca="1">DN37+$AO$117</f>
        <v>0</v>
      </c>
      <c r="DO38" s="52">
        <f ca="1">DO37</f>
        <v>0</v>
      </c>
      <c r="DP38" s="52">
        <f ca="1">DP37</f>
        <v>0</v>
      </c>
      <c r="DQ38" s="52">
        <f ca="1">DQ37</f>
        <v>0</v>
      </c>
      <c r="DR38" s="52">
        <f ca="1">SUM(DM38:DQ38)</f>
        <v>0</v>
      </c>
    </row>
    <row r="39" spans="2:139" ht="15.75" customHeight="1" thickBot="1" x14ac:dyDescent="0.3">
      <c r="F39" s="350" t="s">
        <v>1138</v>
      </c>
      <c r="G39" s="350"/>
      <c r="I39" s="60" t="s">
        <v>1047</v>
      </c>
      <c r="L39" s="60" t="s">
        <v>1048</v>
      </c>
      <c r="O39" s="60" t="s">
        <v>1049</v>
      </c>
      <c r="X39" s="110"/>
      <c r="Y39" s="110"/>
      <c r="Z39" s="110"/>
      <c r="AA39" s="110"/>
      <c r="AB39" s="110"/>
      <c r="AC39" s="110"/>
      <c r="AD39" s="110"/>
      <c r="AF39" s="110"/>
      <c r="AG39" s="162"/>
      <c r="AH39" s="162"/>
      <c r="AI39" s="162"/>
      <c r="AJ39" s="162"/>
      <c r="AK39" s="162"/>
      <c r="AM39" s="128"/>
      <c r="AN39" s="128"/>
      <c r="BA39" s="24" t="s">
        <v>1093</v>
      </c>
      <c r="BB39" s="32" t="s">
        <v>14</v>
      </c>
      <c r="BC39" s="32" t="s">
        <v>1085</v>
      </c>
      <c r="BD39" s="32" t="s">
        <v>1100</v>
      </c>
      <c r="BE39" s="32" t="s">
        <v>1096</v>
      </c>
      <c r="BF39" s="32" t="s">
        <v>1097</v>
      </c>
      <c r="BG39" s="22"/>
      <c r="BJ39" s="24" t="s">
        <v>1093</v>
      </c>
      <c r="BK39" s="32" t="s">
        <v>14</v>
      </c>
      <c r="BL39" s="32" t="s">
        <v>1085</v>
      </c>
      <c r="BM39" s="32" t="s">
        <v>1100</v>
      </c>
      <c r="BN39" s="32" t="s">
        <v>1096</v>
      </c>
      <c r="BO39" s="32" t="s">
        <v>1097</v>
      </c>
      <c r="BP39" s="22"/>
      <c r="DC39" s="24" t="s">
        <v>1379</v>
      </c>
      <c r="DD39" s="52">
        <f ca="1">DD38</f>
        <v>0</v>
      </c>
      <c r="DE39" s="52">
        <f ca="1">DE38-$Z$142</f>
        <v>0</v>
      </c>
      <c r="DF39" s="52">
        <f ca="1">DF38</f>
        <v>0</v>
      </c>
      <c r="DG39" s="52">
        <f ca="1">DG38</f>
        <v>0</v>
      </c>
      <c r="DH39" s="52">
        <f ca="1">DH38</f>
        <v>0</v>
      </c>
      <c r="DI39" s="52">
        <f ca="1">SUM(DD39:DH39)</f>
        <v>0</v>
      </c>
      <c r="DL39" s="186" t="s">
        <v>1440</v>
      </c>
      <c r="DM39" s="52">
        <f ca="1">DM38</f>
        <v>0</v>
      </c>
      <c r="DN39" s="52">
        <f t="shared" ref="DN39:DQ40" ca="1" si="113">DN38</f>
        <v>0</v>
      </c>
      <c r="DO39" s="52">
        <f t="shared" ca="1" si="113"/>
        <v>0</v>
      </c>
      <c r="DP39" s="52">
        <f t="shared" ca="1" si="113"/>
        <v>0</v>
      </c>
      <c r="DQ39" s="52">
        <f t="shared" ca="1" si="113"/>
        <v>0</v>
      </c>
      <c r="DR39" s="56">
        <f ca="1">SUM(DM39:DQ39)</f>
        <v>0</v>
      </c>
      <c r="EI39" s="80" t="str">
        <f>G104</f>
        <v>jan</v>
      </c>
    </row>
    <row r="40" spans="2:139" ht="16.5" customHeight="1" thickBot="1" x14ac:dyDescent="0.3">
      <c r="C40" s="33" t="s">
        <v>1050</v>
      </c>
      <c r="D40" s="246">
        <v>1</v>
      </c>
      <c r="F40" s="34" t="s">
        <v>9</v>
      </c>
      <c r="G40" s="249">
        <f>$G$14</f>
        <v>2021</v>
      </c>
      <c r="H40" s="3"/>
      <c r="I40" s="33" t="s">
        <v>1208</v>
      </c>
      <c r="J40" s="242" t="s">
        <v>14</v>
      </c>
      <c r="K40" s="3"/>
      <c r="L40" s="33" t="s">
        <v>1208</v>
      </c>
      <c r="M40" s="242" t="s">
        <v>15</v>
      </c>
      <c r="N40" s="3"/>
      <c r="O40" s="33" t="s">
        <v>1208</v>
      </c>
      <c r="P40" s="242" t="s">
        <v>1053</v>
      </c>
      <c r="Q40" s="3"/>
      <c r="R40" s="3"/>
      <c r="S40" s="3"/>
      <c r="T40" s="3"/>
      <c r="U40" s="3"/>
      <c r="V40" s="3"/>
      <c r="X40" s="110"/>
      <c r="Y40" s="110"/>
      <c r="Z40" s="110"/>
      <c r="AA40" s="110"/>
      <c r="AB40" s="110"/>
      <c r="AC40" s="110"/>
      <c r="AD40" s="110"/>
      <c r="AF40" s="110"/>
      <c r="AG40" s="162"/>
      <c r="AH40" s="162"/>
      <c r="AI40" s="162"/>
      <c r="AJ40" s="162"/>
      <c r="AK40" s="162"/>
      <c r="AM40" s="128"/>
      <c r="AN40" s="84" t="s">
        <v>1249</v>
      </c>
      <c r="AY40" s="22"/>
      <c r="BA40" s="24" t="s">
        <v>1285</v>
      </c>
      <c r="BB40" s="30">
        <v>1</v>
      </c>
      <c r="BC40" s="30">
        <v>1.6</v>
      </c>
      <c r="BD40" s="30">
        <v>1</v>
      </c>
      <c r="BE40" s="30">
        <v>1</v>
      </c>
      <c r="BF40" s="30">
        <v>1</v>
      </c>
      <c r="BG40" s="22"/>
      <c r="BH40" s="22"/>
      <c r="BJ40" s="24" t="s">
        <v>1285</v>
      </c>
      <c r="BK40" s="30">
        <v>1</v>
      </c>
      <c r="BL40" s="30">
        <v>1.6</v>
      </c>
      <c r="BM40" s="30">
        <v>1</v>
      </c>
      <c r="BN40" s="30">
        <v>1</v>
      </c>
      <c r="BO40" s="30">
        <v>1</v>
      </c>
      <c r="BP40" s="22"/>
      <c r="BQ40" s="22"/>
      <c r="BT40" s="22"/>
      <c r="BU40" s="22"/>
      <c r="BV40" s="22"/>
      <c r="BW40" s="22"/>
      <c r="BX40" s="22"/>
      <c r="BY40" s="22"/>
      <c r="DC40" s="24" t="s">
        <v>1383</v>
      </c>
      <c r="DD40" s="30">
        <f ca="1">DD39</f>
        <v>0</v>
      </c>
      <c r="DE40" s="30">
        <f t="shared" ref="DE40:DH40" ca="1" si="114">DE39</f>
        <v>0</v>
      </c>
      <c r="DF40" s="30">
        <f t="shared" ca="1" si="114"/>
        <v>0</v>
      </c>
      <c r="DG40" s="30">
        <f t="shared" ca="1" si="114"/>
        <v>0</v>
      </c>
      <c r="DH40" s="30">
        <f t="shared" ca="1" si="114"/>
        <v>0</v>
      </c>
      <c r="DI40" s="170">
        <f ca="1">DD40+DE40+DF40+DG40+DH40</f>
        <v>0</v>
      </c>
      <c r="DJ40" s="27">
        <f ca="1">DI40*1000/'Indata byggnad och BBR krav'!$C$16</f>
        <v>0</v>
      </c>
      <c r="DK40" s="27"/>
      <c r="DL40" s="24" t="s">
        <v>1383</v>
      </c>
      <c r="DM40" s="30">
        <f ca="1">DM39</f>
        <v>0</v>
      </c>
      <c r="DN40" s="30">
        <f t="shared" ca="1" si="113"/>
        <v>0</v>
      </c>
      <c r="DO40" s="30">
        <f t="shared" ca="1" si="113"/>
        <v>0</v>
      </c>
      <c r="DP40" s="30">
        <f t="shared" ca="1" si="113"/>
        <v>0</v>
      </c>
      <c r="DQ40" s="30">
        <f t="shared" ca="1" si="113"/>
        <v>0</v>
      </c>
      <c r="DR40" s="170">
        <f ca="1">DM40+DN40+DO40+DP40+DQ40</f>
        <v>0</v>
      </c>
      <c r="DS40" s="27">
        <f ca="1">DR40*1000/'Indata byggnad och BBR krav'!$C$16</f>
        <v>0</v>
      </c>
      <c r="DT40" s="27"/>
      <c r="EI40" s="80">
        <f>MATCH(EI39,EI3:EI14,0)</f>
        <v>1</v>
      </c>
    </row>
    <row r="41" spans="2:139" ht="16.5" customHeight="1" thickBot="1" x14ac:dyDescent="0.3">
      <c r="C41" s="34" t="s">
        <v>1252</v>
      </c>
      <c r="D41" s="246" t="s">
        <v>1256</v>
      </c>
      <c r="F41" s="34" t="s">
        <v>19</v>
      </c>
      <c r="G41" s="249" t="str">
        <f>$G$15</f>
        <v>jan</v>
      </c>
      <c r="H41" s="3"/>
      <c r="I41" s="33" t="s">
        <v>13</v>
      </c>
      <c r="J41" s="246">
        <v>0.98</v>
      </c>
      <c r="K41" s="2"/>
      <c r="L41" s="33" t="s">
        <v>13</v>
      </c>
      <c r="M41" s="246">
        <v>2</v>
      </c>
      <c r="N41" s="2"/>
      <c r="O41" s="33" t="s">
        <v>13</v>
      </c>
      <c r="P41" s="246">
        <v>1</v>
      </c>
      <c r="Q41" s="2"/>
      <c r="R41" s="2"/>
      <c r="S41" s="2"/>
      <c r="T41" s="2"/>
      <c r="U41" s="2"/>
      <c r="V41" s="2"/>
      <c r="Y41" s="86" t="s">
        <v>1259</v>
      </c>
      <c r="AF41" s="110"/>
      <c r="AG41" s="86" t="s">
        <v>1427</v>
      </c>
      <c r="AH41" s="162"/>
      <c r="AI41" s="162"/>
      <c r="AJ41" s="162"/>
      <c r="AK41" s="162"/>
      <c r="AM41" s="128"/>
      <c r="AT41" s="228"/>
      <c r="AU41" s="348" t="s">
        <v>1312</v>
      </c>
      <c r="AY41" s="22"/>
      <c r="BA41" s="24" t="s">
        <v>1286</v>
      </c>
      <c r="BB41" s="32">
        <v>0.7</v>
      </c>
      <c r="BC41" s="32">
        <v>1.8</v>
      </c>
      <c r="BD41" s="32">
        <v>0.6</v>
      </c>
      <c r="BE41" s="32">
        <v>1.8</v>
      </c>
      <c r="BF41" s="32">
        <v>1.8</v>
      </c>
      <c r="BG41" s="22" t="s">
        <v>1094</v>
      </c>
      <c r="BJ41" s="24" t="s">
        <v>1286</v>
      </c>
      <c r="BK41" s="32">
        <v>0.7</v>
      </c>
      <c r="BL41" s="32">
        <v>1.8</v>
      </c>
      <c r="BM41" s="32">
        <v>0.6</v>
      </c>
      <c r="BN41" s="32">
        <v>1.8</v>
      </c>
      <c r="BO41" s="32">
        <v>1.8</v>
      </c>
      <c r="BP41" s="22" t="s">
        <v>1094</v>
      </c>
      <c r="BT41" s="22"/>
      <c r="BU41" s="22"/>
      <c r="BV41" s="22"/>
      <c r="BW41" s="22"/>
      <c r="BX41" s="22"/>
      <c r="BY41" s="22"/>
      <c r="DC41" s="24" t="s">
        <v>1198</v>
      </c>
      <c r="DD41" s="52">
        <f ca="1">DD40/'Indata byggnad och BBR krav'!$C$25</f>
        <v>0</v>
      </c>
      <c r="DE41" s="52">
        <f ca="1">DE40/'Indata byggnad och BBR krav'!$C$25</f>
        <v>0</v>
      </c>
      <c r="DF41" s="52">
        <f ca="1">DF40/'Indata byggnad och BBR krav'!$C$25</f>
        <v>0</v>
      </c>
      <c r="DG41" s="52">
        <f ca="1">DG40/'Indata byggnad och BBR krav'!$C$25</f>
        <v>0</v>
      </c>
      <c r="DH41" s="52">
        <f ca="1">DH40/'Indata byggnad och BBR krav'!$C$25</f>
        <v>0</v>
      </c>
      <c r="DI41" s="56">
        <f ca="1">DD41+DE41+DF41+DG41+DH41</f>
        <v>0</v>
      </c>
      <c r="DJ41" s="27">
        <f ca="1">DJ40/0.9*DD15</f>
        <v>0</v>
      </c>
      <c r="DK41" s="27"/>
      <c r="DL41" s="24" t="s">
        <v>1198</v>
      </c>
      <c r="DM41" s="52">
        <f ca="1">DM40/'Indata byggnad och BBR krav'!$C$25</f>
        <v>0</v>
      </c>
      <c r="DN41" s="52">
        <f ca="1">DN40/'Indata byggnad och BBR krav'!$C$25</f>
        <v>0</v>
      </c>
      <c r="DO41" s="52">
        <f ca="1">DO40/'Indata byggnad och BBR krav'!$C$25</f>
        <v>0</v>
      </c>
      <c r="DP41" s="52">
        <f ca="1">DP40/'Indata byggnad och BBR krav'!$C$25</f>
        <v>0</v>
      </c>
      <c r="DQ41" s="52">
        <f ca="1">DQ40/'Indata byggnad och BBR krav'!$C$25</f>
        <v>0</v>
      </c>
      <c r="DR41" s="56">
        <f ca="1">DM41+DN41+DO41+DP41+DQ41</f>
        <v>0</v>
      </c>
      <c r="DS41" s="27">
        <f ca="1">DS40/0.9*DM15</f>
        <v>0</v>
      </c>
      <c r="DT41" s="27"/>
    </row>
    <row r="42" spans="2:139" ht="16.5" customHeight="1" thickBot="1" x14ac:dyDescent="0.3">
      <c r="C42" s="62" t="s">
        <v>20</v>
      </c>
      <c r="D42" s="246" t="s">
        <v>1251</v>
      </c>
      <c r="F42" s="60"/>
      <c r="G42" s="60"/>
      <c r="H42" s="3"/>
      <c r="I42" s="34" t="s">
        <v>1136</v>
      </c>
      <c r="J42" s="242" t="s">
        <v>1075</v>
      </c>
      <c r="K42" s="227"/>
      <c r="L42" s="34" t="s">
        <v>1136</v>
      </c>
      <c r="M42" s="242" t="s">
        <v>1046</v>
      </c>
      <c r="O42" s="34" t="s">
        <v>1136</v>
      </c>
      <c r="P42" s="242" t="s">
        <v>1046</v>
      </c>
      <c r="Q42" s="3"/>
      <c r="R42" s="3"/>
      <c r="S42" s="3"/>
      <c r="T42" s="3"/>
      <c r="U42" s="3"/>
      <c r="V42" s="3"/>
      <c r="Y42" s="86"/>
      <c r="AF42" s="162"/>
      <c r="AG42" s="84" t="s">
        <v>1428</v>
      </c>
      <c r="AM42" s="128"/>
      <c r="AN42" s="86" t="s">
        <v>1429</v>
      </c>
      <c r="AT42" s="348" t="s">
        <v>1437</v>
      </c>
      <c r="AU42" s="348"/>
      <c r="AW42" s="348" t="s">
        <v>1438</v>
      </c>
      <c r="AY42" s="22"/>
      <c r="BA42" s="24" t="s">
        <v>1287</v>
      </c>
      <c r="BB42" s="30">
        <f>AG57</f>
        <v>0</v>
      </c>
      <c r="BC42" s="30">
        <f>AH57</f>
        <v>0</v>
      </c>
      <c r="BD42" s="30">
        <f>AI57</f>
        <v>0</v>
      </c>
      <c r="BE42" s="30">
        <f>AJ57</f>
        <v>0</v>
      </c>
      <c r="BF42" s="30">
        <f>AK57</f>
        <v>0</v>
      </c>
      <c r="BG42" s="30">
        <f>SUM(BB42:BF42)</f>
        <v>0</v>
      </c>
      <c r="BH42" s="22"/>
      <c r="BJ42" s="24" t="s">
        <v>1287</v>
      </c>
      <c r="BK42" s="30">
        <f>AG57</f>
        <v>0</v>
      </c>
      <c r="BL42" s="30">
        <f>AH57</f>
        <v>0</v>
      </c>
      <c r="BM42" s="30">
        <f>AI57</f>
        <v>0</v>
      </c>
      <c r="BN42" s="30">
        <f>AJ57</f>
        <v>0</v>
      </c>
      <c r="BO42" s="30">
        <f>AK57</f>
        <v>0</v>
      </c>
      <c r="BP42" s="30">
        <f>SUM(BK42:BO42)</f>
        <v>0</v>
      </c>
      <c r="BQ42" s="22"/>
      <c r="BT42" s="22"/>
      <c r="BU42" s="22"/>
      <c r="BV42" s="22"/>
      <c r="BW42" s="22"/>
      <c r="BX42" s="22"/>
      <c r="BY42" s="22"/>
      <c r="DC42" s="24" t="s">
        <v>1384</v>
      </c>
      <c r="DD42" s="30">
        <f ca="1">DD41*DD15</f>
        <v>0</v>
      </c>
      <c r="DE42" s="30">
        <f ca="1">DE41*DE15</f>
        <v>0</v>
      </c>
      <c r="DF42" s="30">
        <f ca="1">DF41*DF15</f>
        <v>0</v>
      </c>
      <c r="DG42" s="30">
        <f ca="1">DG41*DG15</f>
        <v>0</v>
      </c>
      <c r="DH42" s="30">
        <f ca="1">DH41*DH15</f>
        <v>0</v>
      </c>
      <c r="DI42" s="63">
        <f ca="1">DD42+DE42+DF42+DG42+DH42</f>
        <v>0</v>
      </c>
      <c r="DJ42" s="27">
        <f ca="1">DI42*1000/'Indata byggnad och BBR krav'!$C$16</f>
        <v>0</v>
      </c>
      <c r="DK42" s="27"/>
      <c r="DL42" s="24" t="s">
        <v>1384</v>
      </c>
      <c r="DM42" s="30">
        <f ca="1">DM41*DM15</f>
        <v>0</v>
      </c>
      <c r="DN42" s="30">
        <f ca="1">DN41*DN15</f>
        <v>0</v>
      </c>
      <c r="DO42" s="30">
        <f ca="1">DO41*DO15</f>
        <v>0</v>
      </c>
      <c r="DP42" s="30">
        <f ca="1">DP41*DP15</f>
        <v>0</v>
      </c>
      <c r="DQ42" s="30">
        <f ca="1">DQ41*DQ15</f>
        <v>0</v>
      </c>
      <c r="DR42" s="63">
        <f ca="1">DM42+DN42+DO42+DP42+DQ42</f>
        <v>0</v>
      </c>
      <c r="DS42" s="27">
        <f ca="1">DR42*1000/'Indata byggnad och BBR krav'!$C$16</f>
        <v>0</v>
      </c>
      <c r="DT42" s="27"/>
      <c r="EI42" s="80" t="str">
        <f>G130</f>
        <v>jan</v>
      </c>
    </row>
    <row r="43" spans="2:139" ht="16.5" customHeight="1" thickBot="1" x14ac:dyDescent="0.3">
      <c r="C43" s="152" t="s">
        <v>1354</v>
      </c>
      <c r="G43" s="3"/>
      <c r="H43" s="3"/>
      <c r="I43" s="64"/>
      <c r="J43" s="40" t="s">
        <v>1132</v>
      </c>
      <c r="K43" s="40"/>
      <c r="L43" s="64"/>
      <c r="M43" s="40" t="s">
        <v>1132</v>
      </c>
      <c r="N43" s="40"/>
      <c r="O43" s="64"/>
      <c r="P43" s="40" t="s">
        <v>1132</v>
      </c>
      <c r="Q43" s="40"/>
      <c r="R43" s="40"/>
      <c r="S43" s="40"/>
      <c r="T43" s="40"/>
      <c r="U43" s="40"/>
      <c r="V43" s="40"/>
      <c r="Y43" s="162" t="s">
        <v>14</v>
      </c>
      <c r="Z43" s="162" t="s">
        <v>1085</v>
      </c>
      <c r="AA43" s="162" t="s">
        <v>1100</v>
      </c>
      <c r="AB43" s="162" t="s">
        <v>1096</v>
      </c>
      <c r="AC43" s="162" t="s">
        <v>1097</v>
      </c>
      <c r="AD43" s="162" t="s">
        <v>1094</v>
      </c>
      <c r="AF43" s="65"/>
      <c r="AG43" s="162" t="s">
        <v>14</v>
      </c>
      <c r="AH43" s="162" t="s">
        <v>1085</v>
      </c>
      <c r="AI43" s="162" t="s">
        <v>1100</v>
      </c>
      <c r="AJ43" s="162" t="s">
        <v>1096</v>
      </c>
      <c r="AK43" s="162" t="s">
        <v>1097</v>
      </c>
      <c r="AL43" s="162" t="s">
        <v>1094</v>
      </c>
      <c r="AM43" s="128"/>
      <c r="AN43" s="162" t="s">
        <v>14</v>
      </c>
      <c r="AO43" s="162" t="s">
        <v>1085</v>
      </c>
      <c r="AP43" s="162" t="s">
        <v>1100</v>
      </c>
      <c r="AQ43" s="162" t="s">
        <v>1096</v>
      </c>
      <c r="AR43" s="162" t="s">
        <v>1097</v>
      </c>
      <c r="AS43" s="162" t="s">
        <v>1094</v>
      </c>
      <c r="AT43" s="349"/>
      <c r="AU43" s="349"/>
      <c r="AV43" s="84" t="s">
        <v>1368</v>
      </c>
      <c r="AW43" s="349"/>
      <c r="AX43" s="84" t="s">
        <v>1368</v>
      </c>
      <c r="AY43" s="22"/>
      <c r="BA43" s="24" t="s">
        <v>1288</v>
      </c>
      <c r="BB43" s="30">
        <f>AG56</f>
        <v>0</v>
      </c>
      <c r="BC43" s="30">
        <f>AH56</f>
        <v>0</v>
      </c>
      <c r="BD43" s="30">
        <f>AI56</f>
        <v>0</v>
      </c>
      <c r="BE43" s="30">
        <f>AJ56</f>
        <v>0</v>
      </c>
      <c r="BF43" s="30">
        <f>AK56</f>
        <v>0</v>
      </c>
      <c r="BG43" s="30">
        <f>SUM(BB43:BF43)</f>
        <v>0</v>
      </c>
      <c r="BH43" s="22"/>
      <c r="BJ43" s="24" t="s">
        <v>1288</v>
      </c>
      <c r="BK43" s="30">
        <f>AG56</f>
        <v>0</v>
      </c>
      <c r="BL43" s="30">
        <f>AH56</f>
        <v>0</v>
      </c>
      <c r="BM43" s="30">
        <f>AI56</f>
        <v>0</v>
      </c>
      <c r="BN43" s="30">
        <f>AJ56</f>
        <v>0</v>
      </c>
      <c r="BO43" s="30">
        <f>AK56</f>
        <v>0</v>
      </c>
      <c r="BP43" s="30">
        <f>SUM(BK43:BO43)</f>
        <v>0</v>
      </c>
      <c r="BQ43" s="22"/>
      <c r="BT43" s="22"/>
      <c r="BU43" s="22"/>
      <c r="BV43" s="22"/>
      <c r="BW43" s="22"/>
      <c r="BX43" s="22"/>
      <c r="BY43" s="22"/>
      <c r="DC43" s="24" t="s">
        <v>1385</v>
      </c>
      <c r="DD43" s="30">
        <f ca="1">DD41*DD16</f>
        <v>0</v>
      </c>
      <c r="DE43" s="30">
        <f ca="1">DE41*DE16</f>
        <v>0</v>
      </c>
      <c r="DF43" s="30">
        <f ca="1">DF41*DF16</f>
        <v>0</v>
      </c>
      <c r="DG43" s="30">
        <f ca="1">DG41*DG16</f>
        <v>0</v>
      </c>
      <c r="DH43" s="30">
        <f ca="1">DH41*DH16</f>
        <v>0</v>
      </c>
      <c r="DI43" s="63">
        <f ca="1">DD43+DE43+DF43+DG43+DH43</f>
        <v>0</v>
      </c>
      <c r="DL43" s="24" t="s">
        <v>1385</v>
      </c>
      <c r="DM43" s="30">
        <f ca="1">DM41*DM16</f>
        <v>0</v>
      </c>
      <c r="DN43" s="30">
        <f ca="1">DN41*DN16</f>
        <v>0</v>
      </c>
      <c r="DO43" s="30">
        <f ca="1">DO41*DO16</f>
        <v>0</v>
      </c>
      <c r="DP43" s="30">
        <f ca="1">DP41*DP16</f>
        <v>0</v>
      </c>
      <c r="DQ43" s="30">
        <f ca="1">DQ41*DQ16</f>
        <v>0</v>
      </c>
      <c r="DR43" s="63">
        <f ca="1">DM43+DN43+DO43+DP43+DQ43</f>
        <v>0</v>
      </c>
      <c r="EI43" s="80">
        <f>MATCH(EI42,EI3:EI14,0)</f>
        <v>1</v>
      </c>
    </row>
    <row r="44" spans="2:139" ht="16.5" customHeight="1" x14ac:dyDescent="0.25">
      <c r="C44" s="351"/>
      <c r="D44" s="352"/>
      <c r="E44" s="20"/>
      <c r="F44" s="262" t="s">
        <v>1044</v>
      </c>
      <c r="G44" s="262" t="s">
        <v>1045</v>
      </c>
      <c r="H44" s="3"/>
      <c r="I44" s="23" t="s">
        <v>1075</v>
      </c>
      <c r="J44" s="262" t="str">
        <f>J42</f>
        <v>Levererad energi</v>
      </c>
      <c r="K44" s="3"/>
      <c r="L44" s="23" t="s">
        <v>1075</v>
      </c>
      <c r="M44" s="262" t="str">
        <f>M42</f>
        <v>Producerad energi</v>
      </c>
      <c r="N44" s="3"/>
      <c r="O44" s="23" t="s">
        <v>1075</v>
      </c>
      <c r="P44" s="262" t="str">
        <f>P42</f>
        <v>Producerad energi</v>
      </c>
      <c r="Q44" s="3"/>
      <c r="R44" s="3"/>
      <c r="S44" s="3"/>
      <c r="T44" s="3"/>
      <c r="U44" s="3"/>
      <c r="V44" s="3"/>
      <c r="Y44" s="164">
        <f>IF($J$40=$Y$43,I45,0)+IF($M$40=$Y$43,L45,0)+IF($P$40=$Y$43,O45,0)</f>
        <v>0</v>
      </c>
      <c r="Z44" s="164">
        <f t="shared" ref="Z44:Z55" si="115">IF(OR($J$40="El-panna",$J$40="Värmepump"),I45,0)+IF(OR($M$40="El-panna",$M$40="Värmepump"),L45,0)+IF(OR($P$40="El-panna",$P$40="Värmepump"),O45,0)</f>
        <v>0</v>
      </c>
      <c r="AA44" s="164">
        <f t="shared" ref="AA44:AA55" si="116">IF(OR($J$40="Flispanna",$J$40="Pelletspanna",$J$40="Vedpanna"),I45,0)+IF(OR($M$40="Flispanna",$M$40="Pelletspanna",$M$40="Vedpanna"),L45,0)+IF(OR($P$40="Flispanna",$P$40="Pelletspanna",$P$40="Vedpanna"),O45,0)</f>
        <v>0</v>
      </c>
      <c r="AB44" s="163">
        <f t="shared" ref="AB44:AB55" si="117">IF($J$40="Gaspanna",I45,0)+IF($M$40="Gaspanna",L45,0)+IF($P$40="Gaspanna",O45,0)</f>
        <v>0</v>
      </c>
      <c r="AC44" s="163">
        <f t="shared" ref="AC44:AC55" si="118">IF($J$40="Oljepanna",I45,0)+IF($M$40="Oljepanna",L45,0)+IF($P$40="Oljepanna",O45,0)</f>
        <v>0</v>
      </c>
      <c r="AD44" s="163">
        <f t="shared" ref="AD44:AD55" si="119">Y44+Z44+AA44+AB44+AC44</f>
        <v>0</v>
      </c>
      <c r="AF44" s="65"/>
      <c r="AG44" s="164">
        <f>IF($D$41="Inkluderad i energi för tappvarmvatten",Y44*0.75,Y44)</f>
        <v>0</v>
      </c>
      <c r="AH44" s="164">
        <f>IF($D$41="Inkluderad i energi för tappvarmvatten",Z44*0.75,Z44)</f>
        <v>0</v>
      </c>
      <c r="AI44" s="164">
        <f>IF($D$41="Inkluderad i energi för tappvarmvatten",AA44*0.75,AA44)</f>
        <v>0</v>
      </c>
      <c r="AJ44" s="164">
        <f>IF($D$41="Inkluderad i energi för tappvarmvatten",AB44*0.75,AB44)</f>
        <v>0</v>
      </c>
      <c r="AK44" s="164">
        <f>IF($D$41="Inkluderad i energi för tappvarmvatten",AC44*0.75,AC44)</f>
        <v>0</v>
      </c>
      <c r="AL44" s="163">
        <f t="shared" ref="AL44:AL55" si="120">AG44+AH44+AI44+AJ44+AK44</f>
        <v>0</v>
      </c>
      <c r="AM44" s="128"/>
      <c r="AN44" s="164">
        <f>IF($AG$58&gt;0,AG44*($Y$57/$Y$56),0)</f>
        <v>0</v>
      </c>
      <c r="AO44" s="164">
        <f>IF($AH$58&gt;0,AH44*($Z$57/$Z$56),0)</f>
        <v>0</v>
      </c>
      <c r="AP44" s="164">
        <f>IF($AI$58&gt;0,AI44*($AA$57/$AA$56),0)</f>
        <v>0</v>
      </c>
      <c r="AQ44" s="164">
        <f>IF($AJ$58&gt;0,AJ44*($AB$57/$AB$56),0)</f>
        <v>0</v>
      </c>
      <c r="AR44" s="164">
        <f>IF($AK$57&gt;0,AK44*($AC$57/$AC$56),0)</f>
        <v>0</v>
      </c>
      <c r="AS44" s="163">
        <f>AN44+AO44+AP44+AQ44+AR44</f>
        <v>0</v>
      </c>
      <c r="AT44" s="163">
        <f>IF($AN$58&gt;0,(AN44-$AN$58*(AC130+AE130+AG130))/$AN$57,0)+IF($AO$58&gt;0,(AO44-$AO$58*(AC130+AE130+AG130))/$AO$57,0)+IF($AP$58&gt;0,(AP44-$AP$58*(AC130+AE130+AG130))/$AP$57,0)+IF($AQ$58&gt;0,(AQ44-$AQ$58*(AC130+AE130+AG130))/$AQ$57,0)+IF($AR$58&gt;0,(AR44-$AR$58*(AC130+AE130+AG130))/$AR$57,0)</f>
        <v>0</v>
      </c>
      <c r="AU44" s="132">
        <f>AT44-Y130</f>
        <v>0</v>
      </c>
      <c r="AV44" s="237" t="str">
        <f>IF(AT44&lt;0,"Fel i indata","")</f>
        <v/>
      </c>
      <c r="AW44" s="163">
        <f>IF($AO$58&gt;0,(AO44/$AO$57-Y130),0)</f>
        <v>0</v>
      </c>
      <c r="AX44" s="237" t="str">
        <f>IF(OR(AU44&lt;0,AW44&lt;0),"Fel i indata","")</f>
        <v/>
      </c>
      <c r="AY44" s="22"/>
      <c r="BA44" s="24" t="s">
        <v>1107</v>
      </c>
      <c r="BB44" s="47">
        <f>IF(BB42&gt;0,BB42/BB43,0)</f>
        <v>0</v>
      </c>
      <c r="BC44" s="47">
        <f>IF(BC42&gt;0,BC42/BC43,0)</f>
        <v>0</v>
      </c>
      <c r="BD44" s="47">
        <f>IF(BD42&gt;0,BD42/BD43,0)</f>
        <v>0</v>
      </c>
      <c r="BE44" s="47">
        <f>IF(BE42&gt;0,BE42/BE43,0)</f>
        <v>0</v>
      </c>
      <c r="BF44" s="47">
        <f>IF(BF42&gt;0,BF42/BF43,0)</f>
        <v>0</v>
      </c>
      <c r="BG44" s="22"/>
      <c r="BH44" s="22"/>
      <c r="BJ44" s="24" t="s">
        <v>1107</v>
      </c>
      <c r="BK44" s="47">
        <f>IF(BB42&gt;0,BB42/BB43,0)</f>
        <v>0</v>
      </c>
      <c r="BL44" s="47">
        <f t="shared" ref="BL44:BO44" si="121">IF(BC42&gt;0,BC42/BC43,0)</f>
        <v>0</v>
      </c>
      <c r="BM44" s="47">
        <f t="shared" si="121"/>
        <v>0</v>
      </c>
      <c r="BN44" s="47">
        <f t="shared" si="121"/>
        <v>0</v>
      </c>
      <c r="BO44" s="47">
        <f t="shared" si="121"/>
        <v>0</v>
      </c>
      <c r="BP44" s="22"/>
      <c r="BQ44" s="22"/>
      <c r="BT44" s="22"/>
      <c r="BU44" s="22"/>
      <c r="BV44" s="22"/>
      <c r="BW44" s="22"/>
      <c r="BX44" s="22"/>
      <c r="BY44" s="22"/>
    </row>
    <row r="45" spans="2:139" ht="16.5" customHeight="1" thickBot="1" x14ac:dyDescent="0.3">
      <c r="C45" s="353"/>
      <c r="D45" s="354"/>
      <c r="F45" s="249">
        <f t="shared" ref="F45:G56" si="122">F19</f>
        <v>2021</v>
      </c>
      <c r="G45" s="249" t="str">
        <f ca="1">G19</f>
        <v>jan</v>
      </c>
      <c r="H45" s="3"/>
      <c r="I45" s="41">
        <f t="shared" ref="I45:I56" si="123">IF($D$40&gt;0,IF($I$44=$J$44,J45,J45/$J$41),0)</f>
        <v>0</v>
      </c>
      <c r="J45" s="259"/>
      <c r="K45" s="2"/>
      <c r="L45" s="41">
        <f t="shared" ref="L45:L56" si="124">IF($D$40&gt;1,IF($L$44=$M$44,M45,M45/$M$41),0)</f>
        <v>0</v>
      </c>
      <c r="M45" s="259"/>
      <c r="N45" s="2"/>
      <c r="O45" s="41">
        <f t="shared" ref="O45:O56" si="125">IF($D$40&gt;2,IF($O$44=$P$44,P45,P45/$P$41),0)</f>
        <v>0</v>
      </c>
      <c r="P45" s="259"/>
      <c r="Q45" s="2"/>
      <c r="R45" s="2"/>
      <c r="S45" s="2"/>
      <c r="T45" s="2"/>
      <c r="U45" s="2"/>
      <c r="V45" s="2"/>
      <c r="Y45" s="164">
        <f t="shared" ref="Y45:Y55" si="126">IF($J$40=$Y$43,I46,0)+IF($M$40=$Y$43,L46,0)+IF($P$40=$Y$43,O46,0)</f>
        <v>0</v>
      </c>
      <c r="Z45" s="164">
        <f t="shared" si="115"/>
        <v>0</v>
      </c>
      <c r="AA45" s="164">
        <f t="shared" si="116"/>
        <v>0</v>
      </c>
      <c r="AB45" s="163">
        <f t="shared" si="117"/>
        <v>0</v>
      </c>
      <c r="AC45" s="163">
        <f t="shared" si="118"/>
        <v>0</v>
      </c>
      <c r="AD45" s="163">
        <f t="shared" si="119"/>
        <v>0</v>
      </c>
      <c r="AF45" s="65"/>
      <c r="AG45" s="164">
        <f t="shared" ref="AG45:AG55" si="127">IF($D$41="Inkluderad i energi för tappvarmvatten",Y45*0.75,Y45)</f>
        <v>0</v>
      </c>
      <c r="AH45" s="164">
        <f t="shared" ref="AH45:AH55" si="128">IF($D$41="Inkluderad i energi för tappvarmvatten",Z45*0.75,Z45)</f>
        <v>0</v>
      </c>
      <c r="AI45" s="164">
        <f t="shared" ref="AI45:AI55" si="129">IF($D$41="Inkluderad i energi för tappvarmvatten",AA45*0.75,AA45)</f>
        <v>0</v>
      </c>
      <c r="AJ45" s="164">
        <f t="shared" ref="AJ45:AJ55" si="130">IF($D$41="Inkluderad i energi för tappvarmvatten",AB45*0.75,AB45)</f>
        <v>0</v>
      </c>
      <c r="AK45" s="164">
        <f t="shared" ref="AK45:AK55" si="131">IF($D$41="Inkluderad i energi för tappvarmvatten",AC45*0.75,AC45)</f>
        <v>0</v>
      </c>
      <c r="AL45" s="163">
        <f t="shared" si="120"/>
        <v>0</v>
      </c>
      <c r="AM45" s="128"/>
      <c r="AN45" s="164">
        <f t="shared" ref="AN45:AN55" si="132">IF($AG$58&gt;0,AG45*($Y$57/$Y$56),0)</f>
        <v>0</v>
      </c>
      <c r="AO45" s="164">
        <f t="shared" ref="AO45:AO55" si="133">IF($AH$58&gt;0,AH45*($Z$57/$Z$56),0)</f>
        <v>0</v>
      </c>
      <c r="AP45" s="164">
        <f t="shared" ref="AP45:AP55" si="134">IF($AI$58&gt;0,AI45*($AA$57/$AA$56),0)</f>
        <v>0</v>
      </c>
      <c r="AQ45" s="164">
        <f t="shared" ref="AQ45:AQ55" si="135">IF($AJ$58&gt;0,AJ45*($AB$57/$AB$56),0)</f>
        <v>0</v>
      </c>
      <c r="AR45" s="164">
        <f t="shared" ref="AR45:AR55" si="136">IF($AK$57&gt;0,AK45*($AC$57/$AC$56),0)</f>
        <v>0</v>
      </c>
      <c r="AS45" s="163">
        <f t="shared" ref="AS45:AS55" si="137">AN45+AO45+AP45+AQ45+AR45</f>
        <v>0</v>
      </c>
      <c r="AT45" s="163">
        <f t="shared" ref="AT45:AT55" si="138">IF($AN$58&gt;0,(AN45-$AN$58*(AC131+AE131+AG131))/$AN$57,0)+IF($AO$58&gt;0,(AO45-$AO$58*(AC131+AE131+AG131))/$AO$57,0)+IF($AP$58&gt;0,(AP45-$AP$58*(AC131+AE131+AG131))/$AP$57,0)+IF($AQ$58&gt;0,(AQ45-$AQ$58*(AC131+AE131+AG131))/$AQ$57,0)+IF($AR$58&gt;0,(AR45-$AR$58*(AC131+AE131+AG131))/$AR$57,0)</f>
        <v>0</v>
      </c>
      <c r="AU45" s="132">
        <f t="shared" ref="AU45:AU55" si="139">AT45-Y131</f>
        <v>0</v>
      </c>
      <c r="AV45" s="237" t="str">
        <f t="shared" ref="AV45:AV55" si="140">IF(AT45&lt;0,"Fel i indata","")</f>
        <v/>
      </c>
      <c r="AW45" s="163">
        <f t="shared" ref="AW45:AW55" si="141">IF($AO$58&gt;0,(AO45/$AO$57-Y131),0)</f>
        <v>0</v>
      </c>
      <c r="AX45" s="237" t="str">
        <f t="shared" ref="AX45:AX55" si="142">IF(OR(AU45&lt;0,AW45&lt;0),"Fel i indata","")</f>
        <v/>
      </c>
      <c r="AY45" s="22"/>
      <c r="BA45" s="24" t="s">
        <v>1200</v>
      </c>
      <c r="BB45" s="47">
        <f>IF($BG$42&gt;0,BB42/$BG$42,0)</f>
        <v>0</v>
      </c>
      <c r="BC45" s="47">
        <f t="shared" ref="BC45:BF45" si="143">IF($BG$42&gt;0,BC42/$BG$42,0)</f>
        <v>0</v>
      </c>
      <c r="BD45" s="47">
        <f>IF($BG$42&gt;0,BD42/$BG$42,0)</f>
        <v>0</v>
      </c>
      <c r="BE45" s="47">
        <f t="shared" si="143"/>
        <v>0</v>
      </c>
      <c r="BF45" s="47">
        <f t="shared" si="143"/>
        <v>0</v>
      </c>
      <c r="BG45" s="22"/>
      <c r="BH45" s="22"/>
      <c r="BJ45" s="24" t="s">
        <v>1200</v>
      </c>
      <c r="BK45" s="47">
        <f>IF($BP$42&gt;0,BK42/$BP$42,0)</f>
        <v>0</v>
      </c>
      <c r="BL45" s="47">
        <f t="shared" ref="BL45:BO45" si="144">IF($BP$42&gt;0,BL42/$BP$42,0)</f>
        <v>0</v>
      </c>
      <c r="BM45" s="47">
        <f t="shared" si="144"/>
        <v>0</v>
      </c>
      <c r="BN45" s="47">
        <f t="shared" si="144"/>
        <v>0</v>
      </c>
      <c r="BO45" s="47">
        <f t="shared" si="144"/>
        <v>0</v>
      </c>
      <c r="BP45" s="22"/>
      <c r="BQ45" s="22"/>
      <c r="BT45" s="22"/>
      <c r="BU45" s="22"/>
      <c r="BV45" s="22"/>
      <c r="BW45" s="22"/>
      <c r="BX45" s="22"/>
      <c r="BY45" s="22"/>
      <c r="DC45" s="24" t="s">
        <v>1399</v>
      </c>
      <c r="DD45" s="32">
        <f>'Indata byggnad och BBR krav'!$AA$9</f>
        <v>0.06</v>
      </c>
      <c r="DE45" s="32">
        <f>'Indata byggnad och BBR krav'!$AA$8</f>
        <v>2.1999999999999999E-2</v>
      </c>
      <c r="DF45" s="32">
        <f>'Indata byggnad och BBR krav'!$AA$10</f>
        <v>2.1999999999999999E-2</v>
      </c>
      <c r="DG45" s="32">
        <f>'Indata byggnad och BBR krav'!$AA$11</f>
        <v>0.26369999999999999</v>
      </c>
      <c r="DH45" s="32">
        <f>'Indata byggnad och BBR krav'!$AA$12</f>
        <v>0.30130000000000001</v>
      </c>
      <c r="DI45" s="191"/>
      <c r="DL45" s="24" t="s">
        <v>1399</v>
      </c>
      <c r="DM45" s="32">
        <f>'Indata byggnad och BBR krav'!$AA$9</f>
        <v>0.06</v>
      </c>
      <c r="DN45" s="32">
        <f>'Indata byggnad och BBR krav'!$AA$8</f>
        <v>2.1999999999999999E-2</v>
      </c>
      <c r="DO45" s="32">
        <f>'Indata byggnad och BBR krav'!$AA$10</f>
        <v>2.1999999999999999E-2</v>
      </c>
      <c r="DP45" s="32">
        <f>'Indata byggnad och BBR krav'!$AA$11</f>
        <v>0.26369999999999999</v>
      </c>
      <c r="DQ45" s="32">
        <f>'Indata byggnad och BBR krav'!$AA$12</f>
        <v>0.30130000000000001</v>
      </c>
      <c r="DR45" s="191"/>
      <c r="EI45" s="80" t="str">
        <f>G155</f>
        <v>jan</v>
      </c>
    </row>
    <row r="46" spans="2:139" ht="16.5" customHeight="1" thickBot="1" x14ac:dyDescent="0.3">
      <c r="C46" s="353"/>
      <c r="D46" s="354"/>
      <c r="F46" s="249">
        <f t="shared" ca="1" si="122"/>
        <v>2021</v>
      </c>
      <c r="G46" s="249" t="str">
        <f t="shared" ca="1" si="122"/>
        <v>feb</v>
      </c>
      <c r="H46" s="3"/>
      <c r="I46" s="41">
        <f t="shared" si="123"/>
        <v>0</v>
      </c>
      <c r="J46" s="259"/>
      <c r="K46" s="2"/>
      <c r="L46" s="41">
        <f t="shared" si="124"/>
        <v>0</v>
      </c>
      <c r="M46" s="259"/>
      <c r="N46" s="2"/>
      <c r="O46" s="41">
        <f t="shared" si="125"/>
        <v>0</v>
      </c>
      <c r="P46" s="259"/>
      <c r="Q46" s="2"/>
      <c r="R46" s="2"/>
      <c r="S46" s="2"/>
      <c r="T46" s="2"/>
      <c r="U46" s="2"/>
      <c r="V46" s="2"/>
      <c r="Y46" s="164">
        <f t="shared" si="126"/>
        <v>0</v>
      </c>
      <c r="Z46" s="164">
        <f t="shared" si="115"/>
        <v>0</v>
      </c>
      <c r="AA46" s="164">
        <f t="shared" si="116"/>
        <v>0</v>
      </c>
      <c r="AB46" s="163">
        <f t="shared" si="117"/>
        <v>0</v>
      </c>
      <c r="AC46" s="163">
        <f t="shared" si="118"/>
        <v>0</v>
      </c>
      <c r="AD46" s="163">
        <f t="shared" si="119"/>
        <v>0</v>
      </c>
      <c r="AF46" s="65"/>
      <c r="AG46" s="164">
        <f t="shared" si="127"/>
        <v>0</v>
      </c>
      <c r="AH46" s="164">
        <f t="shared" si="128"/>
        <v>0</v>
      </c>
      <c r="AI46" s="164">
        <f t="shared" si="129"/>
        <v>0</v>
      </c>
      <c r="AJ46" s="164">
        <f t="shared" si="130"/>
        <v>0</v>
      </c>
      <c r="AK46" s="164">
        <f t="shared" si="131"/>
        <v>0</v>
      </c>
      <c r="AL46" s="163">
        <f t="shared" si="120"/>
        <v>0</v>
      </c>
      <c r="AM46" s="128"/>
      <c r="AN46" s="164">
        <f t="shared" si="132"/>
        <v>0</v>
      </c>
      <c r="AO46" s="164">
        <f t="shared" si="133"/>
        <v>0</v>
      </c>
      <c r="AP46" s="164">
        <f t="shared" si="134"/>
        <v>0</v>
      </c>
      <c r="AQ46" s="164">
        <f t="shared" si="135"/>
        <v>0</v>
      </c>
      <c r="AR46" s="164">
        <f t="shared" si="136"/>
        <v>0</v>
      </c>
      <c r="AS46" s="163">
        <f t="shared" si="137"/>
        <v>0</v>
      </c>
      <c r="AT46" s="163">
        <f t="shared" si="138"/>
        <v>0</v>
      </c>
      <c r="AU46" s="132">
        <f t="shared" si="139"/>
        <v>0</v>
      </c>
      <c r="AV46" s="237" t="str">
        <f t="shared" si="140"/>
        <v/>
      </c>
      <c r="AW46" s="163">
        <f t="shared" si="141"/>
        <v>0</v>
      </c>
      <c r="AX46" s="237" t="str">
        <f t="shared" si="142"/>
        <v/>
      </c>
      <c r="AY46" s="22"/>
      <c r="BG46" s="22"/>
      <c r="BH46" s="22"/>
      <c r="BP46" s="22"/>
      <c r="BQ46" s="22"/>
      <c r="BT46" s="22"/>
      <c r="BU46" s="22"/>
      <c r="BV46" s="22"/>
      <c r="BW46" s="22"/>
      <c r="BX46" s="22"/>
      <c r="BY46" s="22"/>
      <c r="DB46" s="297"/>
      <c r="DC46" s="298" t="s">
        <v>1408</v>
      </c>
      <c r="DD46" s="280">
        <f ca="1">DD40*1000/'Indata byggnad och BBR krav'!$C$40*'Indata byggnad och BBR krav'!$C$38*DD45</f>
        <v>0</v>
      </c>
      <c r="DE46" s="280">
        <f ca="1">DE40*1000/'Indata byggnad och BBR krav'!$C$40*'Indata byggnad och BBR krav'!$C$38*DE45</f>
        <v>0</v>
      </c>
      <c r="DF46" s="280">
        <f ca="1">DF40*1000/'Indata byggnad och BBR krav'!$C$40*'Indata byggnad och BBR krav'!$C$38*DF45</f>
        <v>0</v>
      </c>
      <c r="DG46" s="280">
        <f ca="1">DG40*1000/'Indata byggnad och BBR krav'!$C$40*'Indata byggnad och BBR krav'!$C$38*DG45</f>
        <v>0</v>
      </c>
      <c r="DH46" s="284">
        <f ca="1">DH40*1000/'Indata byggnad och BBR krav'!$C$40*'Indata byggnad och BBR krav'!$C$38*DH45</f>
        <v>0</v>
      </c>
      <c r="DI46" s="281">
        <f ca="1">SUM(DD46:DH46)</f>
        <v>0</v>
      </c>
      <c r="DJ46" s="190"/>
      <c r="DL46" s="298" t="s">
        <v>1408</v>
      </c>
      <c r="DM46" s="280">
        <f ca="1">DM40*1000/'Indata byggnad och BBR krav'!$C$40*'Indata byggnad och BBR krav'!$C$38*DM45</f>
        <v>0</v>
      </c>
      <c r="DN46" s="280">
        <f ca="1">DN40*1000/'Indata byggnad och BBR krav'!$C$40*'Indata byggnad och BBR krav'!$C$38*DN45</f>
        <v>0</v>
      </c>
      <c r="DO46" s="280">
        <f ca="1">DO40*1000/'Indata byggnad och BBR krav'!$C$40*'Indata byggnad och BBR krav'!$C$38*DO45</f>
        <v>0</v>
      </c>
      <c r="DP46" s="280">
        <f ca="1">DP40*1000/'Indata byggnad och BBR krav'!$C$40*'Indata byggnad och BBR krav'!$C$38*DP45</f>
        <v>0</v>
      </c>
      <c r="DQ46" s="284">
        <f ca="1">DQ40*1000/'Indata byggnad och BBR krav'!$C$40*'Indata byggnad och BBR krav'!$C$38*DQ45</f>
        <v>0</v>
      </c>
      <c r="DR46" s="281">
        <f ca="1">SUM(DM46:DQ46)</f>
        <v>0</v>
      </c>
      <c r="EI46" s="80">
        <f>MATCH(EI45,EI3:EI14,0)</f>
        <v>1</v>
      </c>
    </row>
    <row r="47" spans="2:139" ht="16.5" customHeight="1" thickBot="1" x14ac:dyDescent="0.3">
      <c r="C47" s="355"/>
      <c r="D47" s="356"/>
      <c r="F47" s="249">
        <f t="shared" ca="1" si="122"/>
        <v>2021</v>
      </c>
      <c r="G47" s="249" t="str">
        <f t="shared" ca="1" si="122"/>
        <v>mars</v>
      </c>
      <c r="H47" s="3"/>
      <c r="I47" s="41">
        <f t="shared" si="123"/>
        <v>0</v>
      </c>
      <c r="J47" s="259"/>
      <c r="K47" s="2"/>
      <c r="L47" s="41">
        <f t="shared" si="124"/>
        <v>0</v>
      </c>
      <c r="M47" s="259"/>
      <c r="N47" s="2"/>
      <c r="O47" s="41">
        <f t="shared" si="125"/>
        <v>0</v>
      </c>
      <c r="P47" s="259"/>
      <c r="Q47" s="2"/>
      <c r="R47" s="2"/>
      <c r="S47" s="2"/>
      <c r="T47" s="2"/>
      <c r="U47" s="2"/>
      <c r="V47" s="2"/>
      <c r="Y47" s="164">
        <f t="shared" si="126"/>
        <v>0</v>
      </c>
      <c r="Z47" s="164">
        <f t="shared" si="115"/>
        <v>0</v>
      </c>
      <c r="AA47" s="164">
        <f t="shared" si="116"/>
        <v>0</v>
      </c>
      <c r="AB47" s="163">
        <f t="shared" si="117"/>
        <v>0</v>
      </c>
      <c r="AC47" s="163">
        <f t="shared" si="118"/>
        <v>0</v>
      </c>
      <c r="AD47" s="163">
        <f t="shared" si="119"/>
        <v>0</v>
      </c>
      <c r="AF47" s="65"/>
      <c r="AG47" s="164">
        <f t="shared" si="127"/>
        <v>0</v>
      </c>
      <c r="AH47" s="164">
        <f t="shared" si="128"/>
        <v>0</v>
      </c>
      <c r="AI47" s="164">
        <f t="shared" si="129"/>
        <v>0</v>
      </c>
      <c r="AJ47" s="164">
        <f t="shared" si="130"/>
        <v>0</v>
      </c>
      <c r="AK47" s="164">
        <f t="shared" si="131"/>
        <v>0</v>
      </c>
      <c r="AL47" s="163">
        <f t="shared" si="120"/>
        <v>0</v>
      </c>
      <c r="AM47" s="128"/>
      <c r="AN47" s="164">
        <f t="shared" si="132"/>
        <v>0</v>
      </c>
      <c r="AO47" s="164">
        <f t="shared" si="133"/>
        <v>0</v>
      </c>
      <c r="AP47" s="164">
        <f t="shared" si="134"/>
        <v>0</v>
      </c>
      <c r="AQ47" s="164">
        <f t="shared" si="135"/>
        <v>0</v>
      </c>
      <c r="AR47" s="164">
        <f t="shared" si="136"/>
        <v>0</v>
      </c>
      <c r="AS47" s="163">
        <f t="shared" si="137"/>
        <v>0</v>
      </c>
      <c r="AT47" s="163">
        <f t="shared" si="138"/>
        <v>0</v>
      </c>
      <c r="AU47" s="132">
        <f t="shared" si="139"/>
        <v>0</v>
      </c>
      <c r="AV47" s="237" t="str">
        <f t="shared" si="140"/>
        <v/>
      </c>
      <c r="AW47" s="163">
        <f t="shared" si="141"/>
        <v>0</v>
      </c>
      <c r="AX47" s="237" t="str">
        <f t="shared" si="142"/>
        <v/>
      </c>
      <c r="AY47" s="22"/>
      <c r="BA47" s="24" t="s">
        <v>1164</v>
      </c>
      <c r="BB47" s="22">
        <v>25</v>
      </c>
      <c r="BC47" s="22"/>
      <c r="BD47" s="22"/>
      <c r="BE47" s="22"/>
      <c r="BF47" s="22"/>
      <c r="BG47" s="22"/>
      <c r="BH47" s="22"/>
      <c r="BJ47" s="24" t="s">
        <v>1164</v>
      </c>
      <c r="BK47" s="22">
        <v>25</v>
      </c>
      <c r="BL47" s="22"/>
      <c r="BM47" s="22"/>
      <c r="BN47" s="22"/>
      <c r="BO47" s="22"/>
      <c r="BP47" s="22"/>
      <c r="BQ47" s="22"/>
      <c r="BT47" s="22"/>
      <c r="BU47" s="22"/>
      <c r="BV47" s="22"/>
      <c r="BW47" s="22"/>
      <c r="BX47" s="22"/>
      <c r="BY47" s="22"/>
      <c r="DB47" s="297"/>
      <c r="DC47" s="299" t="s">
        <v>1448</v>
      </c>
      <c r="DD47" s="280">
        <f ca="1">DD40*1000/'Indata byggnad och BBR krav'!$C$16*'Indata byggnad och BBR krav'!$C$38*DD45</f>
        <v>0</v>
      </c>
      <c r="DE47" s="280">
        <f ca="1">DE40*1000/'Indata byggnad och BBR krav'!$C$16*'Indata byggnad och BBR krav'!$C$38*DE45</f>
        <v>0</v>
      </c>
      <c r="DF47" s="280">
        <f ca="1">DF40*1000/'Indata byggnad och BBR krav'!$C$16*'Indata byggnad och BBR krav'!$C$38*DF45</f>
        <v>0</v>
      </c>
      <c r="DG47" s="280">
        <f ca="1">DG40*1000/'Indata byggnad och BBR krav'!$C$16*'Indata byggnad och BBR krav'!$C$38*DG45</f>
        <v>0</v>
      </c>
      <c r="DH47" s="284">
        <f ca="1">DH40*1000/'Indata byggnad och BBR krav'!$C$16*'Indata byggnad och BBR krav'!$C$38*DH45</f>
        <v>0</v>
      </c>
      <c r="DI47" s="281">
        <f t="shared" ref="DI47:DI48" ca="1" si="145">SUM(DD47:DH47)</f>
        <v>0</v>
      </c>
      <c r="DL47" s="299" t="s">
        <v>1448</v>
      </c>
      <c r="DM47" s="280">
        <f ca="1">DM40*1000/'Indata byggnad och BBR krav'!$C$16*'Indata byggnad och BBR krav'!$C$38*DM45</f>
        <v>0</v>
      </c>
      <c r="DN47" s="280">
        <f ca="1">DN40*1000/'Indata byggnad och BBR krav'!$C$16*'Indata byggnad och BBR krav'!$C$38*DN45</f>
        <v>0</v>
      </c>
      <c r="DO47" s="280">
        <f ca="1">DO40*1000/'Indata byggnad och BBR krav'!$C$16*'Indata byggnad och BBR krav'!$C$38*DO45</f>
        <v>0</v>
      </c>
      <c r="DP47" s="280">
        <f ca="1">DP40*1000/'Indata byggnad och BBR krav'!$C$16*'Indata byggnad och BBR krav'!$C$38*DP45</f>
        <v>0</v>
      </c>
      <c r="DQ47" s="284">
        <f ca="1">DQ40*1000/'Indata byggnad och BBR krav'!$C$16*'Indata byggnad och BBR krav'!$C$38*DQ45</f>
        <v>0</v>
      </c>
      <c r="DR47" s="281">
        <f t="shared" ref="DR47:DR48" ca="1" si="146">SUM(DM47:DQ47)</f>
        <v>0</v>
      </c>
    </row>
    <row r="48" spans="2:139" ht="16.5" customHeight="1" thickBot="1" x14ac:dyDescent="0.3">
      <c r="F48" s="249">
        <f t="shared" ca="1" si="122"/>
        <v>2021</v>
      </c>
      <c r="G48" s="249" t="str">
        <f t="shared" ca="1" si="122"/>
        <v>apr</v>
      </c>
      <c r="H48" s="3"/>
      <c r="I48" s="41">
        <f t="shared" si="123"/>
        <v>0</v>
      </c>
      <c r="J48" s="259"/>
      <c r="K48" s="2"/>
      <c r="L48" s="41">
        <f t="shared" si="124"/>
        <v>0</v>
      </c>
      <c r="M48" s="259"/>
      <c r="N48" s="2"/>
      <c r="O48" s="41">
        <f t="shared" si="125"/>
        <v>0</v>
      </c>
      <c r="P48" s="259"/>
      <c r="Q48" s="2"/>
      <c r="R48" s="2"/>
      <c r="S48" s="2"/>
      <c r="T48" s="2"/>
      <c r="U48" s="2"/>
      <c r="V48" s="2"/>
      <c r="Y48" s="164">
        <f t="shared" si="126"/>
        <v>0</v>
      </c>
      <c r="Z48" s="164">
        <f t="shared" si="115"/>
        <v>0</v>
      </c>
      <c r="AA48" s="164">
        <f t="shared" si="116"/>
        <v>0</v>
      </c>
      <c r="AB48" s="163">
        <f t="shared" si="117"/>
        <v>0</v>
      </c>
      <c r="AC48" s="163">
        <f t="shared" si="118"/>
        <v>0</v>
      </c>
      <c r="AD48" s="163">
        <f t="shared" si="119"/>
        <v>0</v>
      </c>
      <c r="AF48" s="65"/>
      <c r="AG48" s="164">
        <f t="shared" si="127"/>
        <v>0</v>
      </c>
      <c r="AH48" s="164">
        <f t="shared" si="128"/>
        <v>0</v>
      </c>
      <c r="AI48" s="164">
        <f t="shared" si="129"/>
        <v>0</v>
      </c>
      <c r="AJ48" s="164">
        <f t="shared" si="130"/>
        <v>0</v>
      </c>
      <c r="AK48" s="164">
        <f t="shared" si="131"/>
        <v>0</v>
      </c>
      <c r="AL48" s="163">
        <f t="shared" si="120"/>
        <v>0</v>
      </c>
      <c r="AM48" s="128"/>
      <c r="AN48" s="164">
        <f t="shared" si="132"/>
        <v>0</v>
      </c>
      <c r="AO48" s="164">
        <f t="shared" si="133"/>
        <v>0</v>
      </c>
      <c r="AP48" s="164">
        <f t="shared" si="134"/>
        <v>0</v>
      </c>
      <c r="AQ48" s="164">
        <f t="shared" si="135"/>
        <v>0</v>
      </c>
      <c r="AR48" s="164">
        <f t="shared" si="136"/>
        <v>0</v>
      </c>
      <c r="AS48" s="163">
        <f t="shared" si="137"/>
        <v>0</v>
      </c>
      <c r="AT48" s="163">
        <f t="shared" si="138"/>
        <v>0</v>
      </c>
      <c r="AU48" s="132">
        <f t="shared" si="139"/>
        <v>0</v>
      </c>
      <c r="AV48" s="237" t="str">
        <f t="shared" si="140"/>
        <v/>
      </c>
      <c r="AW48" s="163">
        <f t="shared" si="141"/>
        <v>0</v>
      </c>
      <c r="AX48" s="237" t="str">
        <f t="shared" si="142"/>
        <v/>
      </c>
      <c r="AY48" s="22"/>
      <c r="BA48" s="24" t="s">
        <v>1430</v>
      </c>
      <c r="BB48" s="22">
        <f>'Indata byggnad och BBR krav'!$C$17</f>
        <v>50</v>
      </c>
      <c r="BC48" s="22"/>
      <c r="BD48" s="22"/>
      <c r="BE48" s="22"/>
      <c r="BF48" s="22"/>
      <c r="BG48" s="22"/>
      <c r="BH48" s="22"/>
      <c r="BJ48" s="24" t="s">
        <v>1430</v>
      </c>
      <c r="BK48" s="22">
        <f>'Indata byggnad och BBR krav'!$C$17</f>
        <v>50</v>
      </c>
      <c r="BL48" s="22"/>
      <c r="BM48" s="22"/>
      <c r="BN48" s="22"/>
      <c r="BO48" s="22"/>
      <c r="BP48" s="22"/>
      <c r="BQ48" s="22"/>
      <c r="BT48" s="22"/>
      <c r="BU48" s="22"/>
      <c r="BV48" s="22"/>
      <c r="BW48" s="22"/>
      <c r="BX48" s="22"/>
      <c r="BY48" s="22"/>
      <c r="DB48" s="297"/>
      <c r="DC48" s="299" t="s">
        <v>1449</v>
      </c>
      <c r="DD48" s="282">
        <f ca="1">DD46/50</f>
        <v>0</v>
      </c>
      <c r="DE48" s="282">
        <f t="shared" ref="DE48:DH48" ca="1" si="147">DE46/50</f>
        <v>0</v>
      </c>
      <c r="DF48" s="282">
        <f t="shared" ca="1" si="147"/>
        <v>0</v>
      </c>
      <c r="DG48" s="282">
        <f t="shared" ca="1" si="147"/>
        <v>0</v>
      </c>
      <c r="DH48" s="282">
        <f t="shared" ca="1" si="147"/>
        <v>0</v>
      </c>
      <c r="DI48" s="283">
        <f t="shared" ca="1" si="145"/>
        <v>0</v>
      </c>
      <c r="DL48" s="299" t="s">
        <v>1449</v>
      </c>
      <c r="DM48" s="282">
        <f ca="1">DM46/50</f>
        <v>0</v>
      </c>
      <c r="DN48" s="282">
        <f t="shared" ref="DN48:DQ48" ca="1" si="148">DN46/50</f>
        <v>0</v>
      </c>
      <c r="DO48" s="282">
        <f t="shared" ca="1" si="148"/>
        <v>0</v>
      </c>
      <c r="DP48" s="282">
        <f t="shared" ca="1" si="148"/>
        <v>0</v>
      </c>
      <c r="DQ48" s="282">
        <f t="shared" ca="1" si="148"/>
        <v>0</v>
      </c>
      <c r="DR48" s="283">
        <f t="shared" ca="1" si="146"/>
        <v>0</v>
      </c>
    </row>
    <row r="49" spans="4:77" ht="16.5" customHeight="1" x14ac:dyDescent="0.25">
      <c r="F49" s="249">
        <f t="shared" ca="1" si="122"/>
        <v>2021</v>
      </c>
      <c r="G49" s="249" t="str">
        <f t="shared" ca="1" si="122"/>
        <v>maj</v>
      </c>
      <c r="H49" s="3"/>
      <c r="I49" s="41">
        <f t="shared" si="123"/>
        <v>0</v>
      </c>
      <c r="J49" s="259"/>
      <c r="K49" s="2"/>
      <c r="L49" s="41">
        <f t="shared" si="124"/>
        <v>0</v>
      </c>
      <c r="M49" s="259"/>
      <c r="N49" s="2"/>
      <c r="O49" s="41">
        <f t="shared" si="125"/>
        <v>0</v>
      </c>
      <c r="P49" s="259"/>
      <c r="Q49" s="2"/>
      <c r="R49" s="2"/>
      <c r="S49" s="2"/>
      <c r="T49" s="2"/>
      <c r="U49" s="2"/>
      <c r="V49" s="2"/>
      <c r="Y49" s="164">
        <f t="shared" si="126"/>
        <v>0</v>
      </c>
      <c r="Z49" s="164">
        <f t="shared" si="115"/>
        <v>0</v>
      </c>
      <c r="AA49" s="164">
        <f t="shared" si="116"/>
        <v>0</v>
      </c>
      <c r="AB49" s="163">
        <f t="shared" si="117"/>
        <v>0</v>
      </c>
      <c r="AC49" s="163">
        <f t="shared" si="118"/>
        <v>0</v>
      </c>
      <c r="AD49" s="163">
        <f t="shared" si="119"/>
        <v>0</v>
      </c>
      <c r="AF49" s="65"/>
      <c r="AG49" s="164">
        <f t="shared" si="127"/>
        <v>0</v>
      </c>
      <c r="AH49" s="164">
        <f t="shared" si="128"/>
        <v>0</v>
      </c>
      <c r="AI49" s="164">
        <f t="shared" si="129"/>
        <v>0</v>
      </c>
      <c r="AJ49" s="164">
        <f t="shared" si="130"/>
        <v>0</v>
      </c>
      <c r="AK49" s="164">
        <f t="shared" si="131"/>
        <v>0</v>
      </c>
      <c r="AL49" s="163">
        <f t="shared" si="120"/>
        <v>0</v>
      </c>
      <c r="AM49" s="128"/>
      <c r="AN49" s="164">
        <f t="shared" si="132"/>
        <v>0</v>
      </c>
      <c r="AO49" s="164">
        <f t="shared" si="133"/>
        <v>0</v>
      </c>
      <c r="AP49" s="164">
        <f t="shared" si="134"/>
        <v>0</v>
      </c>
      <c r="AQ49" s="164">
        <f t="shared" si="135"/>
        <v>0</v>
      </c>
      <c r="AR49" s="164">
        <f t="shared" si="136"/>
        <v>0</v>
      </c>
      <c r="AS49" s="163">
        <f t="shared" si="137"/>
        <v>0</v>
      </c>
      <c r="AT49" s="163">
        <f t="shared" si="138"/>
        <v>0</v>
      </c>
      <c r="AU49" s="132">
        <f t="shared" si="139"/>
        <v>0</v>
      </c>
      <c r="AV49" s="237" t="str">
        <f t="shared" si="140"/>
        <v/>
      </c>
      <c r="AW49" s="163">
        <f t="shared" si="141"/>
        <v>0</v>
      </c>
      <c r="AX49" s="237" t="str">
        <f t="shared" si="142"/>
        <v/>
      </c>
      <c r="AY49" s="22"/>
      <c r="BA49" s="24"/>
      <c r="BB49" s="22"/>
      <c r="BC49" s="22"/>
      <c r="BD49" s="22"/>
      <c r="BE49" s="22"/>
      <c r="BF49" s="22"/>
      <c r="BG49" s="22"/>
      <c r="BH49" s="22"/>
      <c r="BJ49" s="24"/>
      <c r="BK49" s="22"/>
      <c r="BL49" s="22"/>
      <c r="BM49" s="22"/>
      <c r="BN49" s="22"/>
      <c r="BO49" s="22"/>
      <c r="BP49" s="22"/>
      <c r="BQ49" s="22"/>
      <c r="BT49" s="22"/>
      <c r="BU49" s="22"/>
      <c r="BV49" s="22"/>
      <c r="BW49" s="22"/>
      <c r="BX49" s="22"/>
      <c r="BY49" s="22"/>
    </row>
    <row r="50" spans="4:77" ht="16.5" customHeight="1" x14ac:dyDescent="0.25">
      <c r="F50" s="249">
        <f t="shared" ca="1" si="122"/>
        <v>2021</v>
      </c>
      <c r="G50" s="249" t="str">
        <f t="shared" ca="1" si="122"/>
        <v xml:space="preserve">jun </v>
      </c>
      <c r="H50" s="3"/>
      <c r="I50" s="41">
        <f t="shared" si="123"/>
        <v>0</v>
      </c>
      <c r="J50" s="259"/>
      <c r="K50" s="2"/>
      <c r="L50" s="41">
        <f t="shared" si="124"/>
        <v>0</v>
      </c>
      <c r="M50" s="259"/>
      <c r="N50" s="2"/>
      <c r="O50" s="41">
        <f t="shared" si="125"/>
        <v>0</v>
      </c>
      <c r="P50" s="259"/>
      <c r="Q50" s="2"/>
      <c r="R50" s="2"/>
      <c r="S50" s="2"/>
      <c r="T50" s="2"/>
      <c r="U50" s="2"/>
      <c r="V50" s="2"/>
      <c r="Y50" s="164">
        <f t="shared" si="126"/>
        <v>0</v>
      </c>
      <c r="Z50" s="164">
        <f t="shared" si="115"/>
        <v>0</v>
      </c>
      <c r="AA50" s="164">
        <f t="shared" si="116"/>
        <v>0</v>
      </c>
      <c r="AB50" s="163">
        <f t="shared" si="117"/>
        <v>0</v>
      </c>
      <c r="AC50" s="163">
        <f t="shared" si="118"/>
        <v>0</v>
      </c>
      <c r="AD50" s="163">
        <f t="shared" si="119"/>
        <v>0</v>
      </c>
      <c r="AF50" s="65"/>
      <c r="AG50" s="164">
        <f t="shared" si="127"/>
        <v>0</v>
      </c>
      <c r="AH50" s="164">
        <f t="shared" si="128"/>
        <v>0</v>
      </c>
      <c r="AI50" s="164">
        <f t="shared" si="129"/>
        <v>0</v>
      </c>
      <c r="AJ50" s="164">
        <f t="shared" si="130"/>
        <v>0</v>
      </c>
      <c r="AK50" s="164">
        <f t="shared" si="131"/>
        <v>0</v>
      </c>
      <c r="AL50" s="163">
        <f t="shared" si="120"/>
        <v>0</v>
      </c>
      <c r="AM50" s="128"/>
      <c r="AN50" s="164">
        <f t="shared" si="132"/>
        <v>0</v>
      </c>
      <c r="AO50" s="164">
        <f t="shared" si="133"/>
        <v>0</v>
      </c>
      <c r="AP50" s="164">
        <f t="shared" si="134"/>
        <v>0</v>
      </c>
      <c r="AQ50" s="164">
        <f t="shared" si="135"/>
        <v>0</v>
      </c>
      <c r="AR50" s="164">
        <f t="shared" si="136"/>
        <v>0</v>
      </c>
      <c r="AS50" s="163">
        <f t="shared" si="137"/>
        <v>0</v>
      </c>
      <c r="AT50" s="163">
        <f t="shared" si="138"/>
        <v>0</v>
      </c>
      <c r="AU50" s="132">
        <f t="shared" si="139"/>
        <v>0</v>
      </c>
      <c r="AV50" s="237" t="str">
        <f t="shared" si="140"/>
        <v/>
      </c>
      <c r="AW50" s="163">
        <f t="shared" si="141"/>
        <v>0</v>
      </c>
      <c r="AX50" s="237" t="str">
        <f t="shared" si="142"/>
        <v/>
      </c>
      <c r="AY50" s="22"/>
      <c r="BA50" s="24" t="s">
        <v>1432</v>
      </c>
      <c r="BB50" s="22">
        <v>2</v>
      </c>
      <c r="BC50" s="22"/>
      <c r="BD50" s="22"/>
      <c r="BE50" s="22"/>
      <c r="BF50" s="22"/>
      <c r="BG50" s="22"/>
      <c r="BH50" s="22"/>
      <c r="BJ50" s="24" t="s">
        <v>1432</v>
      </c>
      <c r="BK50" s="22">
        <v>2</v>
      </c>
      <c r="BL50" s="22"/>
      <c r="BM50" s="22"/>
      <c r="BN50" s="22"/>
      <c r="BO50" s="22"/>
      <c r="BP50" s="22"/>
      <c r="BQ50" s="22"/>
      <c r="BT50" s="22"/>
      <c r="BU50" s="22"/>
      <c r="BV50" s="22"/>
      <c r="BW50" s="22"/>
      <c r="BX50" s="22"/>
      <c r="BY50" s="22"/>
    </row>
    <row r="51" spans="4:77" ht="16.5" customHeight="1" x14ac:dyDescent="0.25">
      <c r="F51" s="249">
        <f t="shared" ca="1" si="122"/>
        <v>2021</v>
      </c>
      <c r="G51" s="249" t="str">
        <f t="shared" ca="1" si="122"/>
        <v>jul</v>
      </c>
      <c r="H51" s="3"/>
      <c r="I51" s="41">
        <f t="shared" si="123"/>
        <v>0</v>
      </c>
      <c r="J51" s="259"/>
      <c r="K51" s="2"/>
      <c r="L51" s="41">
        <f t="shared" si="124"/>
        <v>0</v>
      </c>
      <c r="M51" s="259"/>
      <c r="N51" s="2"/>
      <c r="O51" s="41">
        <f t="shared" si="125"/>
        <v>0</v>
      </c>
      <c r="P51" s="259"/>
      <c r="Q51" s="2"/>
      <c r="R51" s="2"/>
      <c r="S51" s="2"/>
      <c r="T51" s="2"/>
      <c r="U51" s="2"/>
      <c r="V51" s="2"/>
      <c r="Y51" s="164">
        <f t="shared" si="126"/>
        <v>0</v>
      </c>
      <c r="Z51" s="164">
        <f t="shared" si="115"/>
        <v>0</v>
      </c>
      <c r="AA51" s="164">
        <f t="shared" si="116"/>
        <v>0</v>
      </c>
      <c r="AB51" s="163">
        <f t="shared" si="117"/>
        <v>0</v>
      </c>
      <c r="AC51" s="163">
        <f t="shared" si="118"/>
        <v>0</v>
      </c>
      <c r="AD51" s="163">
        <f t="shared" si="119"/>
        <v>0</v>
      </c>
      <c r="AF51" s="65"/>
      <c r="AG51" s="164">
        <f t="shared" si="127"/>
        <v>0</v>
      </c>
      <c r="AH51" s="164">
        <f t="shared" si="128"/>
        <v>0</v>
      </c>
      <c r="AI51" s="164">
        <f t="shared" si="129"/>
        <v>0</v>
      </c>
      <c r="AJ51" s="164">
        <f t="shared" si="130"/>
        <v>0</v>
      </c>
      <c r="AK51" s="164">
        <f t="shared" si="131"/>
        <v>0</v>
      </c>
      <c r="AL51" s="163">
        <f t="shared" si="120"/>
        <v>0</v>
      </c>
      <c r="AM51" s="128"/>
      <c r="AN51" s="164">
        <f t="shared" si="132"/>
        <v>0</v>
      </c>
      <c r="AO51" s="164">
        <f t="shared" si="133"/>
        <v>0</v>
      </c>
      <c r="AP51" s="164">
        <f t="shared" si="134"/>
        <v>0</v>
      </c>
      <c r="AQ51" s="164">
        <f t="shared" si="135"/>
        <v>0</v>
      </c>
      <c r="AR51" s="164">
        <f t="shared" si="136"/>
        <v>0</v>
      </c>
      <c r="AS51" s="163">
        <f t="shared" si="137"/>
        <v>0</v>
      </c>
      <c r="AT51" s="163">
        <f t="shared" si="138"/>
        <v>0</v>
      </c>
      <c r="AU51" s="132">
        <f t="shared" si="139"/>
        <v>0</v>
      </c>
      <c r="AV51" s="237" t="str">
        <f t="shared" si="140"/>
        <v/>
      </c>
      <c r="AW51" s="163">
        <f t="shared" si="141"/>
        <v>0</v>
      </c>
      <c r="AX51" s="237" t="str">
        <f t="shared" si="142"/>
        <v/>
      </c>
      <c r="AY51" s="22"/>
      <c r="BA51" s="24" t="s">
        <v>1431</v>
      </c>
      <c r="BB51" s="22">
        <f>'Indata byggnad och BBR krav'!$C$18</f>
        <v>50</v>
      </c>
      <c r="BC51" s="22"/>
      <c r="BD51" s="22"/>
      <c r="BE51" s="22"/>
      <c r="BF51" s="22"/>
      <c r="BG51" s="22"/>
      <c r="BH51" s="22"/>
      <c r="BJ51" s="24" t="s">
        <v>1431</v>
      </c>
      <c r="BK51" s="22">
        <f>'Indata byggnad och BBR krav'!$C$18</f>
        <v>50</v>
      </c>
      <c r="BL51" s="22"/>
      <c r="BM51" s="22"/>
      <c r="BN51" s="22"/>
      <c r="BO51" s="22"/>
      <c r="BP51" s="22"/>
      <c r="BQ51" s="22"/>
      <c r="BT51" s="27"/>
      <c r="BU51" s="27"/>
      <c r="BV51" s="27"/>
      <c r="BW51" s="27"/>
      <c r="BX51" s="27"/>
      <c r="BY51" s="27"/>
    </row>
    <row r="52" spans="4:77" ht="16.5" customHeight="1" x14ac:dyDescent="0.25">
      <c r="F52" s="249">
        <f t="shared" ca="1" si="122"/>
        <v>2021</v>
      </c>
      <c r="G52" s="249" t="str">
        <f t="shared" ca="1" si="122"/>
        <v>aug</v>
      </c>
      <c r="H52" s="3"/>
      <c r="I52" s="41">
        <f t="shared" si="123"/>
        <v>0</v>
      </c>
      <c r="J52" s="259"/>
      <c r="K52" s="2"/>
      <c r="L52" s="41">
        <f t="shared" si="124"/>
        <v>0</v>
      </c>
      <c r="M52" s="259"/>
      <c r="N52" s="2"/>
      <c r="O52" s="41">
        <f t="shared" si="125"/>
        <v>0</v>
      </c>
      <c r="P52" s="259"/>
      <c r="Q52" s="2"/>
      <c r="R52" s="2"/>
      <c r="S52" s="2"/>
      <c r="T52" s="2"/>
      <c r="U52" s="2"/>
      <c r="V52" s="2"/>
      <c r="Y52" s="164">
        <f t="shared" si="126"/>
        <v>0</v>
      </c>
      <c r="Z52" s="164">
        <f t="shared" si="115"/>
        <v>0</v>
      </c>
      <c r="AA52" s="164">
        <f t="shared" si="116"/>
        <v>0</v>
      </c>
      <c r="AB52" s="163">
        <f t="shared" si="117"/>
        <v>0</v>
      </c>
      <c r="AC52" s="163">
        <f t="shared" si="118"/>
        <v>0</v>
      </c>
      <c r="AD52" s="163">
        <f t="shared" si="119"/>
        <v>0</v>
      </c>
      <c r="AF52" s="65"/>
      <c r="AG52" s="164">
        <f t="shared" si="127"/>
        <v>0</v>
      </c>
      <c r="AH52" s="164">
        <f t="shared" si="128"/>
        <v>0</v>
      </c>
      <c r="AI52" s="164">
        <f t="shared" si="129"/>
        <v>0</v>
      </c>
      <c r="AJ52" s="164">
        <f t="shared" si="130"/>
        <v>0</v>
      </c>
      <c r="AK52" s="164">
        <f t="shared" si="131"/>
        <v>0</v>
      </c>
      <c r="AL52" s="163">
        <f t="shared" si="120"/>
        <v>0</v>
      </c>
      <c r="AM52" s="128"/>
      <c r="AN52" s="164">
        <f t="shared" si="132"/>
        <v>0</v>
      </c>
      <c r="AO52" s="164">
        <f t="shared" si="133"/>
        <v>0</v>
      </c>
      <c r="AP52" s="164">
        <f t="shared" si="134"/>
        <v>0</v>
      </c>
      <c r="AQ52" s="164">
        <f t="shared" si="135"/>
        <v>0</v>
      </c>
      <c r="AR52" s="164">
        <f t="shared" si="136"/>
        <v>0</v>
      </c>
      <c r="AS52" s="163">
        <f t="shared" si="137"/>
        <v>0</v>
      </c>
      <c r="AT52" s="163">
        <f t="shared" si="138"/>
        <v>0</v>
      </c>
      <c r="AU52" s="132">
        <f t="shared" si="139"/>
        <v>0</v>
      </c>
      <c r="AV52" s="237" t="str">
        <f t="shared" si="140"/>
        <v/>
      </c>
      <c r="AW52" s="163">
        <f t="shared" si="141"/>
        <v>0</v>
      </c>
      <c r="AX52" s="237" t="str">
        <f t="shared" si="142"/>
        <v/>
      </c>
      <c r="AY52" s="22"/>
      <c r="BA52" s="24"/>
      <c r="BG52" s="22"/>
      <c r="BH52" s="22"/>
      <c r="BJ52" s="24"/>
      <c r="BP52" s="22"/>
      <c r="BQ52" s="22"/>
      <c r="BT52" s="27"/>
      <c r="BU52" s="27"/>
      <c r="BV52" s="27"/>
      <c r="BW52" s="27"/>
      <c r="BX52" s="27"/>
      <c r="BY52" s="27"/>
    </row>
    <row r="53" spans="4:77" ht="16.5" customHeight="1" x14ac:dyDescent="0.25">
      <c r="F53" s="249">
        <f t="shared" ca="1" si="122"/>
        <v>2021</v>
      </c>
      <c r="G53" s="249" t="str">
        <f t="shared" ca="1" si="122"/>
        <v>sept</v>
      </c>
      <c r="H53" s="3"/>
      <c r="I53" s="41">
        <f t="shared" si="123"/>
        <v>0</v>
      </c>
      <c r="J53" s="259"/>
      <c r="K53" s="2"/>
      <c r="L53" s="41">
        <f t="shared" si="124"/>
        <v>0</v>
      </c>
      <c r="M53" s="259"/>
      <c r="N53" s="2"/>
      <c r="O53" s="41">
        <f t="shared" si="125"/>
        <v>0</v>
      </c>
      <c r="P53" s="259"/>
      <c r="Q53" s="2"/>
      <c r="R53" s="2"/>
      <c r="S53" s="2"/>
      <c r="T53" s="2"/>
      <c r="U53" s="2"/>
      <c r="V53" s="2"/>
      <c r="Y53" s="164">
        <f t="shared" si="126"/>
        <v>0</v>
      </c>
      <c r="Z53" s="164">
        <f t="shared" si="115"/>
        <v>0</v>
      </c>
      <c r="AA53" s="164">
        <f t="shared" si="116"/>
        <v>0</v>
      </c>
      <c r="AB53" s="163">
        <f t="shared" si="117"/>
        <v>0</v>
      </c>
      <c r="AC53" s="163">
        <f t="shared" si="118"/>
        <v>0</v>
      </c>
      <c r="AD53" s="163">
        <f t="shared" si="119"/>
        <v>0</v>
      </c>
      <c r="AF53" s="65"/>
      <c r="AG53" s="164">
        <f t="shared" si="127"/>
        <v>0</v>
      </c>
      <c r="AH53" s="164">
        <f t="shared" si="128"/>
        <v>0</v>
      </c>
      <c r="AI53" s="164">
        <f t="shared" si="129"/>
        <v>0</v>
      </c>
      <c r="AJ53" s="164">
        <f t="shared" si="130"/>
        <v>0</v>
      </c>
      <c r="AK53" s="164">
        <f t="shared" si="131"/>
        <v>0</v>
      </c>
      <c r="AL53" s="163">
        <f t="shared" si="120"/>
        <v>0</v>
      </c>
      <c r="AM53" s="128"/>
      <c r="AN53" s="164">
        <f t="shared" si="132"/>
        <v>0</v>
      </c>
      <c r="AO53" s="164">
        <f t="shared" si="133"/>
        <v>0</v>
      </c>
      <c r="AP53" s="164">
        <f t="shared" si="134"/>
        <v>0</v>
      </c>
      <c r="AQ53" s="164">
        <f t="shared" si="135"/>
        <v>0</v>
      </c>
      <c r="AR53" s="164">
        <f t="shared" si="136"/>
        <v>0</v>
      </c>
      <c r="AS53" s="163">
        <f t="shared" si="137"/>
        <v>0</v>
      </c>
      <c r="AT53" s="163">
        <f t="shared" si="138"/>
        <v>0</v>
      </c>
      <c r="AU53" s="132">
        <f t="shared" si="139"/>
        <v>0</v>
      </c>
      <c r="AV53" s="237" t="str">
        <f t="shared" si="140"/>
        <v/>
      </c>
      <c r="AW53" s="163">
        <f t="shared" si="141"/>
        <v>0</v>
      </c>
      <c r="AX53" s="237" t="str">
        <f t="shared" si="142"/>
        <v/>
      </c>
      <c r="AY53" s="22"/>
      <c r="BA53" s="24" t="s">
        <v>1433</v>
      </c>
      <c r="BB53" s="22">
        <f>(BB47*BB48+BB50*BB51)/100</f>
        <v>13.5</v>
      </c>
      <c r="BC53" s="22"/>
      <c r="BD53" s="22"/>
      <c r="BE53" s="22"/>
      <c r="BF53" s="22"/>
      <c r="BG53" s="22"/>
      <c r="BH53" s="22"/>
      <c r="BJ53" s="24" t="s">
        <v>1433</v>
      </c>
      <c r="BK53" s="22">
        <f>(BK47*BK48+BK50*BK51)/100</f>
        <v>13.5</v>
      </c>
      <c r="BL53" s="22"/>
      <c r="BM53" s="22"/>
      <c r="BN53" s="22"/>
      <c r="BO53" s="22"/>
      <c r="BP53" s="22"/>
      <c r="BQ53" s="22"/>
    </row>
    <row r="54" spans="4:77" ht="16.5" customHeight="1" x14ac:dyDescent="0.25">
      <c r="F54" s="249">
        <f t="shared" ca="1" si="122"/>
        <v>2021</v>
      </c>
      <c r="G54" s="249" t="str">
        <f t="shared" ca="1" si="122"/>
        <v>okt</v>
      </c>
      <c r="H54" s="3"/>
      <c r="I54" s="41">
        <f t="shared" si="123"/>
        <v>0</v>
      </c>
      <c r="J54" s="259"/>
      <c r="K54" s="2"/>
      <c r="L54" s="41">
        <f t="shared" si="124"/>
        <v>0</v>
      </c>
      <c r="M54" s="259"/>
      <c r="N54" s="2"/>
      <c r="O54" s="41">
        <f t="shared" si="125"/>
        <v>0</v>
      </c>
      <c r="P54" s="259"/>
      <c r="Q54" s="2"/>
      <c r="R54" s="2"/>
      <c r="S54" s="2"/>
      <c r="T54" s="2"/>
      <c r="U54" s="2"/>
      <c r="V54" s="2"/>
      <c r="Y54" s="164">
        <f t="shared" si="126"/>
        <v>0</v>
      </c>
      <c r="Z54" s="164">
        <f t="shared" si="115"/>
        <v>0</v>
      </c>
      <c r="AA54" s="164">
        <f t="shared" si="116"/>
        <v>0</v>
      </c>
      <c r="AB54" s="163">
        <f t="shared" si="117"/>
        <v>0</v>
      </c>
      <c r="AC54" s="163">
        <f t="shared" si="118"/>
        <v>0</v>
      </c>
      <c r="AD54" s="163">
        <f t="shared" si="119"/>
        <v>0</v>
      </c>
      <c r="AF54" s="65"/>
      <c r="AG54" s="164">
        <f t="shared" si="127"/>
        <v>0</v>
      </c>
      <c r="AH54" s="164">
        <f t="shared" si="128"/>
        <v>0</v>
      </c>
      <c r="AI54" s="164">
        <f t="shared" si="129"/>
        <v>0</v>
      </c>
      <c r="AJ54" s="164">
        <f t="shared" si="130"/>
        <v>0</v>
      </c>
      <c r="AK54" s="164">
        <f t="shared" si="131"/>
        <v>0</v>
      </c>
      <c r="AL54" s="163">
        <f t="shared" si="120"/>
        <v>0</v>
      </c>
      <c r="AM54" s="128"/>
      <c r="AN54" s="164">
        <f t="shared" si="132"/>
        <v>0</v>
      </c>
      <c r="AO54" s="164">
        <f t="shared" si="133"/>
        <v>0</v>
      </c>
      <c r="AP54" s="164">
        <f t="shared" si="134"/>
        <v>0</v>
      </c>
      <c r="AQ54" s="164">
        <f t="shared" si="135"/>
        <v>0</v>
      </c>
      <c r="AR54" s="164">
        <f t="shared" si="136"/>
        <v>0</v>
      </c>
      <c r="AS54" s="163">
        <f t="shared" si="137"/>
        <v>0</v>
      </c>
      <c r="AT54" s="163">
        <f t="shared" si="138"/>
        <v>0</v>
      </c>
      <c r="AU54" s="132">
        <f t="shared" si="139"/>
        <v>0</v>
      </c>
      <c r="AV54" s="237" t="str">
        <f t="shared" si="140"/>
        <v/>
      </c>
      <c r="AW54" s="163">
        <f t="shared" si="141"/>
        <v>0</v>
      </c>
      <c r="AX54" s="237" t="str">
        <f t="shared" si="142"/>
        <v/>
      </c>
      <c r="BA54" s="24" t="s">
        <v>1434</v>
      </c>
      <c r="BB54" s="27">
        <f>IF($D$42="Finns",($BB$53*0.9),$BB$53)</f>
        <v>12.15</v>
      </c>
      <c r="BC54" s="22"/>
      <c r="BD54" s="22"/>
      <c r="BE54" s="22"/>
      <c r="BF54" s="22"/>
      <c r="BG54" s="22"/>
      <c r="BH54" s="22"/>
      <c r="BJ54" s="24" t="s">
        <v>1434</v>
      </c>
      <c r="BK54" s="27">
        <f>IF($D$42="Finns",($BK$53*0.9),$BK$53)</f>
        <v>12.15</v>
      </c>
      <c r="BL54" s="22"/>
      <c r="BM54" s="22"/>
      <c r="BN54" s="22"/>
      <c r="BO54" s="22"/>
      <c r="BP54" s="22"/>
      <c r="BQ54" s="22"/>
    </row>
    <row r="55" spans="4:77" ht="16.5" customHeight="1" thickBot="1" x14ac:dyDescent="0.3">
      <c r="F55" s="249">
        <f t="shared" ca="1" si="122"/>
        <v>2021</v>
      </c>
      <c r="G55" s="249" t="str">
        <f t="shared" ca="1" si="122"/>
        <v>nov</v>
      </c>
      <c r="H55" s="3"/>
      <c r="I55" s="41">
        <f t="shared" si="123"/>
        <v>0</v>
      </c>
      <c r="J55" s="259"/>
      <c r="K55" s="2"/>
      <c r="L55" s="41">
        <f t="shared" si="124"/>
        <v>0</v>
      </c>
      <c r="M55" s="259"/>
      <c r="N55" s="2"/>
      <c r="O55" s="41">
        <f t="shared" si="125"/>
        <v>0</v>
      </c>
      <c r="P55" s="259"/>
      <c r="Q55" s="2"/>
      <c r="R55" s="2"/>
      <c r="S55" s="2"/>
      <c r="T55" s="2"/>
      <c r="U55" s="2"/>
      <c r="V55" s="2"/>
      <c r="Y55" s="165">
        <f t="shared" si="126"/>
        <v>0</v>
      </c>
      <c r="Z55" s="165">
        <f t="shared" si="115"/>
        <v>0</v>
      </c>
      <c r="AA55" s="165">
        <f t="shared" si="116"/>
        <v>0</v>
      </c>
      <c r="AB55" s="166">
        <f t="shared" si="117"/>
        <v>0</v>
      </c>
      <c r="AC55" s="166">
        <f t="shared" si="118"/>
        <v>0</v>
      </c>
      <c r="AD55" s="166">
        <f t="shared" si="119"/>
        <v>0</v>
      </c>
      <c r="AF55" s="65"/>
      <c r="AG55" s="165">
        <f t="shared" si="127"/>
        <v>0</v>
      </c>
      <c r="AH55" s="165">
        <f t="shared" si="128"/>
        <v>0</v>
      </c>
      <c r="AI55" s="165">
        <f t="shared" si="129"/>
        <v>0</v>
      </c>
      <c r="AJ55" s="165">
        <f t="shared" si="130"/>
        <v>0</v>
      </c>
      <c r="AK55" s="165">
        <f t="shared" si="131"/>
        <v>0</v>
      </c>
      <c r="AL55" s="166">
        <f t="shared" si="120"/>
        <v>0</v>
      </c>
      <c r="AM55" s="128"/>
      <c r="AN55" s="165">
        <f t="shared" si="132"/>
        <v>0</v>
      </c>
      <c r="AO55" s="165">
        <f t="shared" si="133"/>
        <v>0</v>
      </c>
      <c r="AP55" s="165">
        <f t="shared" si="134"/>
        <v>0</v>
      </c>
      <c r="AQ55" s="165">
        <f t="shared" si="135"/>
        <v>0</v>
      </c>
      <c r="AR55" s="165">
        <f t="shared" si="136"/>
        <v>0</v>
      </c>
      <c r="AS55" s="166">
        <f t="shared" si="137"/>
        <v>0</v>
      </c>
      <c r="AT55" s="166">
        <f t="shared" si="138"/>
        <v>0</v>
      </c>
      <c r="AU55" s="133">
        <f t="shared" si="139"/>
        <v>0</v>
      </c>
      <c r="AV55" s="237" t="str">
        <f t="shared" si="140"/>
        <v/>
      </c>
      <c r="AW55" s="166">
        <f t="shared" si="141"/>
        <v>0</v>
      </c>
      <c r="AX55" s="237" t="str">
        <f t="shared" si="142"/>
        <v/>
      </c>
      <c r="BA55" s="24" t="s">
        <v>1435</v>
      </c>
      <c r="BB55" s="27">
        <f>BB54-($AC$142+$AE$142)/'Indata byggnad och BBR krav'!$C$16</f>
        <v>12.15</v>
      </c>
      <c r="BC55" s="22"/>
      <c r="BD55" s="22"/>
      <c r="BE55" s="22"/>
      <c r="BF55" s="22"/>
      <c r="BJ55" s="24" t="s">
        <v>1435</v>
      </c>
      <c r="BK55" s="27">
        <f>BK54-($AE$142)/'Indata byggnad och BBR krav'!$C$16</f>
        <v>12.15</v>
      </c>
      <c r="BL55" s="22"/>
      <c r="BM55" s="22"/>
      <c r="BN55" s="22"/>
      <c r="BO55" s="22"/>
    </row>
    <row r="56" spans="4:77" ht="16.5" customHeight="1" thickTop="1" x14ac:dyDescent="0.25">
      <c r="F56" s="249">
        <f t="shared" ca="1" si="122"/>
        <v>2021</v>
      </c>
      <c r="G56" s="249" t="str">
        <f t="shared" ca="1" si="122"/>
        <v>dec</v>
      </c>
      <c r="H56" s="3"/>
      <c r="I56" s="41">
        <f t="shared" si="123"/>
        <v>0</v>
      </c>
      <c r="J56" s="259"/>
      <c r="K56" s="2"/>
      <c r="L56" s="41">
        <f t="shared" si="124"/>
        <v>0</v>
      </c>
      <c r="M56" s="259"/>
      <c r="N56" s="2"/>
      <c r="O56" s="41">
        <f t="shared" si="125"/>
        <v>0</v>
      </c>
      <c r="P56" s="259"/>
      <c r="Q56" s="2"/>
      <c r="R56" s="2"/>
      <c r="S56" s="2"/>
      <c r="T56" s="2"/>
      <c r="U56" s="2"/>
      <c r="V56" s="2"/>
      <c r="X56" s="110" t="s">
        <v>1295</v>
      </c>
      <c r="Y56" s="167">
        <f t="shared" ref="Y56:AD56" si="149">SUM(Y44:Y55)</f>
        <v>0</v>
      </c>
      <c r="Z56" s="167">
        <f t="shared" si="149"/>
        <v>0</v>
      </c>
      <c r="AA56" s="167">
        <f t="shared" si="149"/>
        <v>0</v>
      </c>
      <c r="AB56" s="167">
        <f t="shared" si="149"/>
        <v>0</v>
      </c>
      <c r="AC56" s="168">
        <f t="shared" si="149"/>
        <v>0</v>
      </c>
      <c r="AD56" s="167">
        <f t="shared" si="149"/>
        <v>0</v>
      </c>
      <c r="AF56" s="110" t="s">
        <v>1295</v>
      </c>
      <c r="AG56" s="167">
        <f t="shared" ref="AG56:AL56" si="150">SUM(AG44:AG55)</f>
        <v>0</v>
      </c>
      <c r="AH56" s="167">
        <f t="shared" si="150"/>
        <v>0</v>
      </c>
      <c r="AI56" s="167">
        <f t="shared" si="150"/>
        <v>0</v>
      </c>
      <c r="AJ56" s="167">
        <f t="shared" si="150"/>
        <v>0</v>
      </c>
      <c r="AK56" s="168">
        <f t="shared" si="150"/>
        <v>0</v>
      </c>
      <c r="AL56" s="167">
        <f t="shared" si="150"/>
        <v>0</v>
      </c>
      <c r="AM56" s="128"/>
      <c r="AN56" s="167">
        <f t="shared" ref="AN56:AS56" si="151">SUM(AN44:AN55)</f>
        <v>0</v>
      </c>
      <c r="AO56" s="167">
        <f t="shared" si="151"/>
        <v>0</v>
      </c>
      <c r="AP56" s="167">
        <f t="shared" si="151"/>
        <v>0</v>
      </c>
      <c r="AQ56" s="167">
        <f t="shared" si="151"/>
        <v>0</v>
      </c>
      <c r="AR56" s="167">
        <f t="shared" si="151"/>
        <v>0</v>
      </c>
      <c r="AS56" s="167">
        <f t="shared" si="151"/>
        <v>0</v>
      </c>
      <c r="AT56" s="167">
        <f t="shared" ref="AT56" si="152">SUM(AT44:AT55)</f>
        <v>0</v>
      </c>
      <c r="AU56" s="167">
        <f>SUM(AU44:AU55)</f>
        <v>0</v>
      </c>
      <c r="AW56" s="167">
        <f>SUM(AW44:AW55)</f>
        <v>0</v>
      </c>
      <c r="BB56" s="70" t="s">
        <v>1291</v>
      </c>
      <c r="BC56" s="22"/>
      <c r="BD56" s="22"/>
      <c r="BE56" s="22"/>
      <c r="BF56" s="22"/>
      <c r="BG56" s="22" t="s">
        <v>1094</v>
      </c>
      <c r="BH56" s="16" t="s">
        <v>1292</v>
      </c>
      <c r="BK56" s="70" t="s">
        <v>1291</v>
      </c>
      <c r="BL56" s="22"/>
      <c r="BM56" s="22"/>
      <c r="BN56" s="22"/>
      <c r="BO56" s="22"/>
      <c r="BP56" s="22" t="s">
        <v>1094</v>
      </c>
      <c r="BQ56" s="16" t="s">
        <v>1292</v>
      </c>
    </row>
    <row r="57" spans="4:77" ht="16.5" customHeight="1" x14ac:dyDescent="0.25">
      <c r="D57" s="20"/>
      <c r="E57" s="20"/>
      <c r="I57" s="51">
        <f>SUM(I45:I56)</f>
        <v>0</v>
      </c>
      <c r="J57" s="51">
        <f>SUM(J45:J56)</f>
        <v>0</v>
      </c>
      <c r="L57" s="51">
        <f>SUM(L45:L56)</f>
        <v>0</v>
      </c>
      <c r="M57" s="51">
        <f>SUM(M45:M56)</f>
        <v>0</v>
      </c>
      <c r="O57" s="51">
        <f>SUM(O45:O56)</f>
        <v>0</v>
      </c>
      <c r="P57" s="51">
        <f>SUM(P45:P56)</f>
        <v>0</v>
      </c>
      <c r="X57" s="110" t="s">
        <v>1375</v>
      </c>
      <c r="Y57" s="167">
        <f>IF($J$40=$Y$43,I57*$J$41,0)+IF($M$40=$Y$43,L57*$M$41,0)+IF($P$40=$Y$43,O57*$P$41,0)</f>
        <v>0</v>
      </c>
      <c r="Z57" s="167">
        <f>IF(OR(J40="El-panna",J40="Värmepump"),I57*J41,0)+IF(OR(M40="El-panna",M40="Värmepump"),L57*M41,0)+IF(OR(P40="El-panna",P40="Värmepump"),O57*P41,0)</f>
        <v>0</v>
      </c>
      <c r="AA57" s="168">
        <f>IF(OR(J40="Flispanna",J40="Pelletspanna",J40="Vedpanna"),I57*J41,0)+IF(OR(M40="Flispanna",M40="Pelletspanna",M40="Vedpanna"),L57*M41,0)+IF(OR(P40="Flispanna",P40="Pelletspanna",P40="Vedpanna"),O57*P41,0)</f>
        <v>0</v>
      </c>
      <c r="AB57" s="168">
        <f>IF(J40="Gaspanna",I57*J41,0)+IF(M40="Gaspanna",L57*M41,0)+IF(P40="Gaspanna",O57*P41,0)</f>
        <v>0</v>
      </c>
      <c r="AC57" s="168">
        <f>IF(J40="Oljepanna",I57/J41,0)+IF(M40="Oljepanna",L57/M41,0)+IF(P40="Oljepanna",O57/P41,0)</f>
        <v>0</v>
      </c>
      <c r="AD57" s="167">
        <f>SUM(Y57:AC57)</f>
        <v>0</v>
      </c>
      <c r="AF57" s="110" t="s">
        <v>1375</v>
      </c>
      <c r="AG57" s="173">
        <f>IF(AG56&gt;0,AG56*(Y57/Y56),0)</f>
        <v>0</v>
      </c>
      <c r="AH57" s="163">
        <f>IF(AH56&gt;0,AH56*(Z57/Z56),0)</f>
        <v>0</v>
      </c>
      <c r="AI57" s="163">
        <f>IF(AI56&gt;0,AI56*(AA57/AA56),0)</f>
        <v>0</v>
      </c>
      <c r="AJ57" s="163">
        <f>IF(AJ56&gt;0,AJ56*(AB57/AB56),0)</f>
        <v>0</v>
      </c>
      <c r="AK57" s="163">
        <f>IF(AK56&gt;0,AK56*(AC57/AC56),0)</f>
        <v>0</v>
      </c>
      <c r="AL57" s="167">
        <f>AG57+AH57+AI57+AJ57+AK57</f>
        <v>0</v>
      </c>
      <c r="AM57" s="104" t="s">
        <v>1311</v>
      </c>
      <c r="AN57" s="130">
        <f>IF(AG56&gt;0,AN56/AG56,0)</f>
        <v>0</v>
      </c>
      <c r="AO57" s="131">
        <f t="shared" ref="AO57:AR57" si="153">IF(AH56&gt;0,AO56/AH56,0)</f>
        <v>0</v>
      </c>
      <c r="AP57" s="130">
        <f t="shared" si="153"/>
        <v>0</v>
      </c>
      <c r="AQ57" s="130">
        <f t="shared" si="153"/>
        <v>0</v>
      </c>
      <c r="AR57" s="130">
        <f t="shared" si="153"/>
        <v>0</v>
      </c>
      <c r="AY57" s="22"/>
      <c r="BA57" s="24" t="s">
        <v>1289</v>
      </c>
      <c r="BB57" s="30">
        <f>IF(BB45&gt;0,($BB$55*BB45*'Indata byggnad och BBR krav'!$C$16/1000),0)</f>
        <v>0</v>
      </c>
      <c r="BC57" s="30">
        <f>IF(BC45&gt;0,($BB$55*BC45*'Indata byggnad och BBR krav'!$C$16/1000),0)</f>
        <v>0</v>
      </c>
      <c r="BD57" s="30">
        <f>IF(BD45&gt;0,($BB$55*BD45*'Indata byggnad och BBR krav'!$C$16/1000),0)</f>
        <v>0</v>
      </c>
      <c r="BE57" s="30">
        <f>IF(BE45&gt;0,($BB$55*BE45*'Indata byggnad och BBR krav'!$C$16/1000),0)</f>
        <v>0</v>
      </c>
      <c r="BF57" s="30">
        <f>IF(BF45&gt;0,($BB$55*BF45*'Indata byggnad och BBR krav'!$C$16/1000),0)</f>
        <v>0</v>
      </c>
      <c r="BG57" s="71">
        <f>SUM(BB57:BF57)</f>
        <v>0</v>
      </c>
      <c r="BH57" s="27">
        <f>BG57*1000/'Indata byggnad och BBR krav'!$C$16</f>
        <v>0</v>
      </c>
      <c r="BJ57" s="24" t="s">
        <v>1289</v>
      </c>
      <c r="BK57" s="30">
        <f>IF(BK45&gt;0,($BK$55*BK45*'Indata byggnad och BBR krav'!$C$16/1000),0)</f>
        <v>0</v>
      </c>
      <c r="BL57" s="30">
        <f>IF(BL45&gt;0,($BK$55*BL45*'Indata byggnad och BBR krav'!$C$16/1000),0)</f>
        <v>0</v>
      </c>
      <c r="BM57" s="30">
        <f>IF(BM45&gt;0,($BK$55*BM45*'Indata byggnad och BBR krav'!$C$16/1000),0)</f>
        <v>0</v>
      </c>
      <c r="BN57" s="30">
        <f>IF(BN45&gt;0,($BK$55*BN45*'Indata byggnad och BBR krav'!$C$16/1000),0)</f>
        <v>0</v>
      </c>
      <c r="BO57" s="30">
        <f>IF(BO45&gt;0,($BK$55*BO45*'Indata byggnad och BBR krav'!$C$16/1000),0)</f>
        <v>0</v>
      </c>
      <c r="BP57" s="71">
        <f>SUM(BK57:BO57)</f>
        <v>0</v>
      </c>
      <c r="BQ57" s="27">
        <f>BP57*1000/'Indata byggnad och BBR krav'!$C$16</f>
        <v>0</v>
      </c>
    </row>
    <row r="58" spans="4:77" ht="20.25" customHeight="1" thickBot="1" x14ac:dyDescent="0.3">
      <c r="F58" s="60"/>
      <c r="G58" s="60"/>
      <c r="H58" s="60"/>
      <c r="I58" s="60"/>
      <c r="J58" s="60"/>
      <c r="K58" s="60"/>
      <c r="L58" s="60"/>
      <c r="M58" s="60"/>
      <c r="N58" s="60"/>
      <c r="O58" s="60"/>
      <c r="P58" s="60"/>
      <c r="Q58" s="60"/>
      <c r="X58" s="104" t="s">
        <v>1195</v>
      </c>
      <c r="Y58" s="169">
        <f>IF($AD$57&gt;0,Y57/$AD$57,0)</f>
        <v>0</v>
      </c>
      <c r="Z58" s="169">
        <f t="shared" ref="Z58:AC58" si="154">IF($AD$57&gt;0,Z57/$AD$57,0)</f>
        <v>0</v>
      </c>
      <c r="AA58" s="169">
        <f t="shared" si="154"/>
        <v>0</v>
      </c>
      <c r="AB58" s="169">
        <f t="shared" si="154"/>
        <v>0</v>
      </c>
      <c r="AC58" s="169">
        <f t="shared" si="154"/>
        <v>0</v>
      </c>
      <c r="AF58" s="104" t="s">
        <v>1195</v>
      </c>
      <c r="AG58" s="131">
        <f>IF($AL$57&gt;0,AG57/$AL$57,0)</f>
        <v>0</v>
      </c>
      <c r="AH58" s="131">
        <f t="shared" ref="AH58:AK58" si="155">IF($AL$57&gt;0,AH57/$AL$57,0)</f>
        <v>0</v>
      </c>
      <c r="AI58" s="131">
        <f t="shared" si="155"/>
        <v>0</v>
      </c>
      <c r="AJ58" s="131">
        <f t="shared" si="155"/>
        <v>0</v>
      </c>
      <c r="AK58" s="131">
        <f t="shared" si="155"/>
        <v>0</v>
      </c>
      <c r="AM58" s="104" t="s">
        <v>1195</v>
      </c>
      <c r="AN58" s="131">
        <f>IF($AS$56&gt;0,AN56/$AS$56,0)</f>
        <v>0</v>
      </c>
      <c r="AO58" s="131">
        <f t="shared" ref="AO58:AR58" si="156">IF($AS$56&gt;0,AO56/$AS$56,0)</f>
        <v>0</v>
      </c>
      <c r="AP58" s="131">
        <f t="shared" si="156"/>
        <v>0</v>
      </c>
      <c r="AQ58" s="131">
        <f t="shared" si="156"/>
        <v>0</v>
      </c>
      <c r="AR58" s="131">
        <f t="shared" si="156"/>
        <v>0</v>
      </c>
      <c r="AY58" s="22"/>
      <c r="AZ58" s="22"/>
      <c r="BA58" s="24" t="s">
        <v>1290</v>
      </c>
      <c r="BB58" s="71">
        <f>IF(BB45&gt;0,BB57/BB44,0)</f>
        <v>0</v>
      </c>
      <c r="BC58" s="71">
        <f>IF(BC45&gt;0,BC57/BC44,0)</f>
        <v>0</v>
      </c>
      <c r="BD58" s="71">
        <f>IF(BD45&gt;0,BD57/BD44,0)</f>
        <v>0</v>
      </c>
      <c r="BE58" s="71">
        <f>IF(BE45&gt;0,BE57/BE44,0)</f>
        <v>0</v>
      </c>
      <c r="BF58" s="71">
        <f>IF(BF45&gt;0,BF57/BF44,0)</f>
        <v>0</v>
      </c>
      <c r="BG58" s="71">
        <f>SUM(BB58:BF58)</f>
        <v>0</v>
      </c>
      <c r="BH58" s="27">
        <f>BG58*1000/'Indata byggnad och BBR krav'!$C$16</f>
        <v>0</v>
      </c>
      <c r="BI58" s="22"/>
      <c r="BJ58" s="24" t="s">
        <v>1290</v>
      </c>
      <c r="BK58" s="71">
        <f>IF(BK45&gt;0,BK57/BK44,0)</f>
        <v>0</v>
      </c>
      <c r="BL58" s="71">
        <f t="shared" ref="BL58:BO58" si="157">IF(BL45&gt;0,BL57/BL44,0)</f>
        <v>0</v>
      </c>
      <c r="BM58" s="71">
        <f t="shared" si="157"/>
        <v>0</v>
      </c>
      <c r="BN58" s="71">
        <f t="shared" si="157"/>
        <v>0</v>
      </c>
      <c r="BO58" s="71">
        <f t="shared" si="157"/>
        <v>0</v>
      </c>
      <c r="BP58" s="71">
        <f>SUM(BK58:BO58)</f>
        <v>0</v>
      </c>
      <c r="BQ58" s="27">
        <f>BP58*1000/'Indata byggnad och BBR krav'!$C$16</f>
        <v>0</v>
      </c>
    </row>
    <row r="59" spans="4:77" ht="16.5" customHeight="1" thickBot="1" x14ac:dyDescent="0.3">
      <c r="F59" s="151" t="s">
        <v>1344</v>
      </c>
      <c r="G59" s="60"/>
      <c r="H59" s="60"/>
      <c r="I59" s="60"/>
      <c r="J59" s="60"/>
      <c r="K59" s="60"/>
      <c r="L59" s="60"/>
      <c r="M59" s="60"/>
      <c r="N59" s="60"/>
      <c r="O59" s="60"/>
      <c r="P59" s="60"/>
      <c r="Q59" s="60"/>
      <c r="R59" s="3"/>
      <c r="S59" s="3"/>
      <c r="T59" s="3"/>
      <c r="U59" s="3"/>
      <c r="V59" s="3"/>
      <c r="X59" s="110" t="s">
        <v>1376</v>
      </c>
      <c r="Y59" s="163">
        <f>(Y57-$AC$142*Y58)</f>
        <v>0</v>
      </c>
      <c r="Z59" s="163">
        <f>(Z57-$AC$142*Z58)</f>
        <v>0</v>
      </c>
      <c r="AA59" s="163">
        <f>(AA57-$AC$142*AA58)</f>
        <v>0</v>
      </c>
      <c r="AB59" s="163">
        <f>(AB57-$AC$142*AB58)</f>
        <v>0</v>
      </c>
      <c r="AC59" s="163">
        <f>(AC57-$AC$142*AC58)</f>
        <v>0</v>
      </c>
      <c r="AD59" s="163">
        <f>SUM(Y59:AC59)</f>
        <v>0</v>
      </c>
      <c r="AF59" s="110" t="s">
        <v>1376</v>
      </c>
      <c r="AG59" s="163">
        <f>(AG57-$AC$142*AG58)</f>
        <v>0</v>
      </c>
      <c r="AH59" s="163">
        <f>(AH57-$AC$142*AH58)</f>
        <v>0</v>
      </c>
      <c r="AI59" s="163">
        <f>(AI57-$AC$142*AI58)</f>
        <v>0</v>
      </c>
      <c r="AJ59" s="163">
        <f>(AJ57-$AC$142*AJ58)</f>
        <v>0</v>
      </c>
      <c r="AK59" s="163">
        <f>(AK57-$AC$142*AK58)</f>
        <v>0</v>
      </c>
      <c r="AL59" s="163">
        <f>SUM(AG59:AK59)</f>
        <v>0</v>
      </c>
      <c r="AM59" s="162"/>
      <c r="AN59" s="162"/>
      <c r="AO59" s="162"/>
      <c r="AP59" s="162"/>
      <c r="AQ59" s="162"/>
      <c r="AR59" s="162"/>
      <c r="AS59" s="162"/>
      <c r="AT59" s="162"/>
      <c r="AU59" s="162"/>
      <c r="AV59" s="162"/>
      <c r="AW59" s="162"/>
      <c r="AX59" s="162"/>
      <c r="AY59" s="22"/>
      <c r="AZ59" s="22"/>
      <c r="BA59" s="24" t="s">
        <v>1201</v>
      </c>
      <c r="BB59" s="30">
        <f>BB58</f>
        <v>0</v>
      </c>
      <c r="BC59" s="30">
        <f>BC58-$Y$142</f>
        <v>0</v>
      </c>
      <c r="BD59" s="30">
        <f>BD58</f>
        <v>0</v>
      </c>
      <c r="BE59" s="30">
        <f>BE58</f>
        <v>0</v>
      </c>
      <c r="BF59" s="30">
        <f>BF58</f>
        <v>0</v>
      </c>
      <c r="BG59" s="72">
        <f>SUM(BB59:BF59)</f>
        <v>0</v>
      </c>
      <c r="BH59" s="27">
        <f>BG59*1000/'Indata byggnad och BBR krav'!$C$16</f>
        <v>0</v>
      </c>
      <c r="BI59" s="22"/>
      <c r="BJ59" s="186" t="s">
        <v>1393</v>
      </c>
      <c r="BK59" s="30">
        <f>BK58</f>
        <v>0</v>
      </c>
      <c r="BL59" s="30">
        <f t="shared" ref="BL59:BO59" si="158">BL58</f>
        <v>0</v>
      </c>
      <c r="BM59" s="30">
        <f t="shared" si="158"/>
        <v>0</v>
      </c>
      <c r="BN59" s="30">
        <f t="shared" si="158"/>
        <v>0</v>
      </c>
      <c r="BO59" s="30">
        <f t="shared" si="158"/>
        <v>0</v>
      </c>
      <c r="BP59" s="72">
        <f>SUM(BK59:BO59)</f>
        <v>0</v>
      </c>
      <c r="BQ59" s="27">
        <f>BP59*1000/'Indata byggnad och BBR krav'!$C$16</f>
        <v>0</v>
      </c>
    </row>
    <row r="60" spans="4:77" ht="16.5" customHeight="1" thickBot="1" x14ac:dyDescent="0.3">
      <c r="F60" s="17" t="str">
        <f>IF(OR($D$41="Inkluderad i energi för uppvärmning",$D$41="Inkluderad i energi för tappvarmvatten"),"(Separat mätning finns inte)","")</f>
        <v>(Separat mätning finns inte)</v>
      </c>
      <c r="G60" s="60"/>
      <c r="H60" s="60"/>
      <c r="I60" s="60"/>
      <c r="J60" s="116" t="str">
        <f>J40</f>
        <v>Fjärrvärme</v>
      </c>
      <c r="K60" s="60"/>
      <c r="L60" s="60"/>
      <c r="M60" s="116" t="str">
        <f>IF(M40="","",M40)</f>
        <v>Värmepump</v>
      </c>
      <c r="N60" s="60"/>
      <c r="O60" s="60"/>
      <c r="P60" s="116" t="str">
        <f>IF(P40="","",P40)</f>
        <v>El-panna</v>
      </c>
      <c r="Q60" s="60"/>
      <c r="R60" s="2"/>
      <c r="S60" s="2"/>
      <c r="T60" s="2"/>
      <c r="U60" s="2"/>
      <c r="V60" s="2"/>
      <c r="X60" s="110" t="s">
        <v>1377</v>
      </c>
      <c r="Y60" s="163">
        <f>(Y59-($AE$142+$AG$142)*Y58)</f>
        <v>0</v>
      </c>
      <c r="Z60" s="163">
        <f>(Z59-($AE$142+$AG$142)*Z58)</f>
        <v>0</v>
      </c>
      <c r="AA60" s="163">
        <f>(AA59-($AE$142+$AG$142)*AA58)</f>
        <v>0</v>
      </c>
      <c r="AB60" s="163">
        <f>(AB59-($AE$142+$AG$142)*AB58)</f>
        <v>0</v>
      </c>
      <c r="AC60" s="163">
        <f>(AC59-($AE$142+$AG$142)*AC58)</f>
        <v>0</v>
      </c>
      <c r="AD60" s="163">
        <f>SUM(Y60:AC60)</f>
        <v>0</v>
      </c>
      <c r="AF60" s="110" t="s">
        <v>1377</v>
      </c>
      <c r="AG60" s="163">
        <f>(AG59-($AE$142+$AG$142)*AG58)</f>
        <v>0</v>
      </c>
      <c r="AH60" s="163">
        <f>(AH59-($AE$142+$AG$142)*AH58)</f>
        <v>0</v>
      </c>
      <c r="AI60" s="163">
        <f>(AI59-($AE$142+$AG$142)*AI58)</f>
        <v>0</v>
      </c>
      <c r="AJ60" s="163">
        <f>(AJ59-($AE$142+$AG$142)*AJ58)</f>
        <v>0</v>
      </c>
      <c r="AK60" s="163">
        <f>(AK59-($AE$142+$AG$142)*AK58)</f>
        <v>0</v>
      </c>
      <c r="AL60" s="163">
        <f>SUM(AG60:AK60)</f>
        <v>0</v>
      </c>
      <c r="AM60" s="162"/>
      <c r="AN60" s="162"/>
      <c r="AO60" s="162"/>
      <c r="AP60" s="162"/>
      <c r="AQ60" s="162"/>
      <c r="AR60" s="162"/>
      <c r="AS60" s="162"/>
      <c r="AT60" s="162"/>
      <c r="AU60" s="162"/>
      <c r="AV60" s="162"/>
      <c r="AW60" s="162"/>
      <c r="AX60" s="162"/>
      <c r="AY60" s="22"/>
      <c r="AZ60" s="22"/>
      <c r="BA60" s="24" t="s">
        <v>1293</v>
      </c>
      <c r="BB60" s="52">
        <f>BB59*BB40</f>
        <v>0</v>
      </c>
      <c r="BC60" s="52">
        <f>BC59*BC40</f>
        <v>0</v>
      </c>
      <c r="BD60" s="52">
        <f>BD59*BD40</f>
        <v>0</v>
      </c>
      <c r="BE60" s="52">
        <f>BE59*BE40</f>
        <v>0</v>
      </c>
      <c r="BF60" s="52">
        <f>BF59*BF40</f>
        <v>0</v>
      </c>
      <c r="BG60" s="63">
        <f>SUM(BB60:BF60)</f>
        <v>0</v>
      </c>
      <c r="BH60" s="27">
        <f>BG60*1000/'Indata byggnad och BBR krav'!$C$16</f>
        <v>0</v>
      </c>
      <c r="BI60" s="22"/>
      <c r="BJ60" s="24" t="s">
        <v>1293</v>
      </c>
      <c r="BK60" s="52">
        <f>BK59*BK40</f>
        <v>0</v>
      </c>
      <c r="BL60" s="52">
        <f>BL59*BL40</f>
        <v>0</v>
      </c>
      <c r="BM60" s="52">
        <f>BM59*BM40</f>
        <v>0</v>
      </c>
      <c r="BN60" s="52">
        <f>BN59*BN40</f>
        <v>0</v>
      </c>
      <c r="BO60" s="52">
        <f>BO59*BO40</f>
        <v>0</v>
      </c>
      <c r="BP60" s="63">
        <f>SUM(BK60:BO60)</f>
        <v>0</v>
      </c>
      <c r="BQ60" s="27">
        <f>BP60*1000/'Indata byggnad och BBR krav'!$C$16</f>
        <v>0</v>
      </c>
    </row>
    <row r="61" spans="4:77" ht="16.5" customHeight="1" thickBot="1" x14ac:dyDescent="0.3">
      <c r="G61" s="3"/>
      <c r="H61" s="3"/>
      <c r="I61" s="64"/>
      <c r="J61" s="40" t="s">
        <v>1132</v>
      </c>
      <c r="K61" s="40"/>
      <c r="L61" s="64"/>
      <c r="M61" s="40" t="s">
        <v>1132</v>
      </c>
      <c r="N61" s="40"/>
      <c r="O61" s="64"/>
      <c r="P61" s="40" t="s">
        <v>1132</v>
      </c>
      <c r="Q61" s="40"/>
      <c r="R61" s="40"/>
      <c r="S61" s="40"/>
      <c r="T61" s="40"/>
      <c r="U61" s="40"/>
      <c r="V61" s="40"/>
      <c r="X61" s="110" t="s">
        <v>1378</v>
      </c>
      <c r="Y61" s="163">
        <f>IF(Y58&gt;0,Y60/(Y57/Y56),0)</f>
        <v>0</v>
      </c>
      <c r="Z61" s="163">
        <f t="shared" ref="Z61:AC61" si="159">IF(Z58&gt;0,Z60/(Z57/Z56),0)</f>
        <v>0</v>
      </c>
      <c r="AA61" s="163">
        <f t="shared" si="159"/>
        <v>0</v>
      </c>
      <c r="AB61" s="163">
        <f t="shared" si="159"/>
        <v>0</v>
      </c>
      <c r="AC61" s="163">
        <f t="shared" si="159"/>
        <v>0</v>
      </c>
      <c r="AD61" s="120">
        <f>SUM(Y61:AC61)</f>
        <v>0</v>
      </c>
      <c r="AF61" s="110" t="s">
        <v>1378</v>
      </c>
      <c r="AG61" s="163">
        <f>IF(AG58&gt;0,AG60/(AG57/AG56),0)</f>
        <v>0</v>
      </c>
      <c r="AH61" s="163">
        <f t="shared" ref="AH61:AK61" si="160">IF(AH58&gt;0,AH60/(AH57/AH56),0)</f>
        <v>0</v>
      </c>
      <c r="AI61" s="163">
        <f t="shared" si="160"/>
        <v>0</v>
      </c>
      <c r="AJ61" s="163">
        <f t="shared" si="160"/>
        <v>0</v>
      </c>
      <c r="AK61" s="163">
        <f t="shared" si="160"/>
        <v>0</v>
      </c>
      <c r="AL61" s="120">
        <f>SUM(AG61:AK61)</f>
        <v>0</v>
      </c>
      <c r="AM61" s="162"/>
      <c r="AN61" s="162"/>
      <c r="AO61" s="162"/>
      <c r="AP61" s="162"/>
      <c r="AQ61" s="162"/>
      <c r="AR61" s="162"/>
      <c r="AS61" s="162"/>
      <c r="AT61" s="162"/>
      <c r="AU61" s="162"/>
      <c r="AV61" s="162"/>
      <c r="AW61" s="162"/>
      <c r="AX61" s="162"/>
      <c r="AY61" s="22"/>
      <c r="AZ61" s="22"/>
      <c r="BA61" s="24" t="s">
        <v>1294</v>
      </c>
      <c r="BB61" s="52">
        <f>BB59*BB41</f>
        <v>0</v>
      </c>
      <c r="BC61" s="52">
        <f>BC59*BC41</f>
        <v>0</v>
      </c>
      <c r="BD61" s="52">
        <f>BD59*BD41</f>
        <v>0</v>
      </c>
      <c r="BE61" s="52">
        <f>BE59*BE41</f>
        <v>0</v>
      </c>
      <c r="BF61" s="52">
        <f>BF59*BF41</f>
        <v>0</v>
      </c>
      <c r="BG61" s="63">
        <f>SUM(BB61:BF61)</f>
        <v>0</v>
      </c>
      <c r="BH61" s="27">
        <f>BG61*1000/'Indata byggnad och BBR krav'!$C$16</f>
        <v>0</v>
      </c>
      <c r="BI61" s="22"/>
      <c r="BJ61" s="24" t="s">
        <v>1294</v>
      </c>
      <c r="BK61" s="52">
        <f>BK59*BK41</f>
        <v>0</v>
      </c>
      <c r="BL61" s="52">
        <f>BL59*BL41</f>
        <v>0</v>
      </c>
      <c r="BM61" s="52">
        <f>BM59*BM41</f>
        <v>0</v>
      </c>
      <c r="BN61" s="52">
        <f>BN59*BN41</f>
        <v>0</v>
      </c>
      <c r="BO61" s="52">
        <f>BO59*BO41</f>
        <v>0</v>
      </c>
      <c r="BP61" s="63">
        <f>SUM(BK61:BO61)</f>
        <v>0</v>
      </c>
      <c r="BQ61" s="27">
        <f>BP61*1000/'Indata byggnad och BBR krav'!$C$16</f>
        <v>0</v>
      </c>
    </row>
    <row r="62" spans="4:77" ht="16.5" customHeight="1" thickBot="1" x14ac:dyDescent="0.3">
      <c r="E62" s="20"/>
      <c r="F62" s="262" t="s">
        <v>1044</v>
      </c>
      <c r="G62" s="262" t="s">
        <v>1045</v>
      </c>
      <c r="H62" s="3"/>
      <c r="I62" s="23" t="s">
        <v>1075</v>
      </c>
      <c r="J62" s="262" t="s">
        <v>1046</v>
      </c>
      <c r="K62" s="3"/>
      <c r="L62" s="23" t="s">
        <v>1075</v>
      </c>
      <c r="M62" s="262" t="s">
        <v>1046</v>
      </c>
      <c r="N62" s="3"/>
      <c r="O62" s="23" t="s">
        <v>1075</v>
      </c>
      <c r="P62" s="262" t="s">
        <v>1046</v>
      </c>
      <c r="Q62" s="3"/>
      <c r="R62" s="3"/>
      <c r="S62" s="3"/>
      <c r="T62" s="3"/>
      <c r="U62" s="3"/>
      <c r="V62" s="3"/>
      <c r="X62" s="110" t="s">
        <v>1379</v>
      </c>
      <c r="Y62" s="163">
        <f>Y61</f>
        <v>0</v>
      </c>
      <c r="Z62" s="163">
        <f>Z61-$Y$142</f>
        <v>0</v>
      </c>
      <c r="AA62" s="163">
        <f>AA60</f>
        <v>0</v>
      </c>
      <c r="AB62" s="163">
        <f>AB61</f>
        <v>0</v>
      </c>
      <c r="AC62" s="173">
        <f>AC61</f>
        <v>0</v>
      </c>
      <c r="AD62" s="163">
        <f>SUM(Y62:AC62)</f>
        <v>0</v>
      </c>
      <c r="AF62" s="110" t="s">
        <v>1379</v>
      </c>
      <c r="AG62" s="163">
        <f>AG61</f>
        <v>0</v>
      </c>
      <c r="AH62" s="163">
        <f>AH61-$Y$142</f>
        <v>0</v>
      </c>
      <c r="AI62" s="163">
        <f>AI60</f>
        <v>0</v>
      </c>
      <c r="AJ62" s="163">
        <f>AJ61</f>
        <v>0</v>
      </c>
      <c r="AK62" s="173">
        <f>AK61</f>
        <v>0</v>
      </c>
      <c r="AL62" s="170">
        <f>SUM(AG62:AK62)</f>
        <v>0</v>
      </c>
      <c r="AM62" s="162"/>
      <c r="AN62" s="162"/>
      <c r="AO62" s="162"/>
      <c r="AP62" s="162"/>
      <c r="AQ62" s="162"/>
      <c r="AR62" s="162"/>
      <c r="AS62" s="162"/>
      <c r="AT62" s="162"/>
      <c r="AU62" s="162"/>
      <c r="AV62" s="162"/>
      <c r="AW62" s="162"/>
      <c r="AX62" s="162"/>
      <c r="AY62" s="22"/>
      <c r="AZ62" s="22"/>
      <c r="BA62" s="22"/>
      <c r="BB62" s="22"/>
      <c r="BC62" s="22"/>
      <c r="BD62" s="22"/>
      <c r="BE62" s="22"/>
      <c r="BF62" s="22"/>
      <c r="BG62" s="22"/>
      <c r="BH62" s="22"/>
      <c r="BI62" s="22"/>
      <c r="BJ62" s="22"/>
      <c r="BK62" s="22"/>
    </row>
    <row r="63" spans="4:77" ht="16.5" customHeight="1" thickBot="1" x14ac:dyDescent="0.3">
      <c r="F63" s="249">
        <f t="shared" ref="F63:G74" si="161">F19</f>
        <v>2021</v>
      </c>
      <c r="G63" s="249" t="str">
        <f t="shared" ca="1" si="161"/>
        <v>jan</v>
      </c>
      <c r="H63" s="3"/>
      <c r="I63" s="41">
        <f t="shared" ref="I63:I74" si="162">IF(AND($D$41="Mäts separat",$D$40&gt;0),(J63/$J$41),0)</f>
        <v>0</v>
      </c>
      <c r="J63" s="259"/>
      <c r="K63" s="2"/>
      <c r="L63" s="41">
        <f t="shared" ref="L63:L74" si="163">IF(AND($D$41="Mäts separat",$D$40&gt;1),(M63/$M$41),0)</f>
        <v>0</v>
      </c>
      <c r="M63" s="246"/>
      <c r="N63" s="2"/>
      <c r="O63" s="41">
        <f t="shared" ref="O63:O74" si="164">IF(AND($D$41="Mäts separat",$D$40&gt;2),(P63/$P$41),0)</f>
        <v>0</v>
      </c>
      <c r="P63" s="246"/>
      <c r="Q63" s="2"/>
      <c r="R63" s="2"/>
      <c r="S63" s="2"/>
      <c r="T63" s="2"/>
      <c r="U63" s="2"/>
      <c r="V63" s="2"/>
      <c r="X63" s="162"/>
      <c r="Y63" s="86" t="s">
        <v>1260</v>
      </c>
      <c r="AG63" s="86" t="s">
        <v>1261</v>
      </c>
      <c r="AM63" s="162"/>
      <c r="AN63" s="162"/>
      <c r="AO63" s="162"/>
      <c r="AP63" s="162"/>
      <c r="AQ63" s="162"/>
      <c r="AR63" s="162"/>
      <c r="AS63" s="162"/>
      <c r="AT63" s="162"/>
      <c r="AU63" s="162"/>
      <c r="AV63" s="162"/>
      <c r="AW63" s="162"/>
      <c r="AX63" s="162"/>
      <c r="AY63" s="22"/>
      <c r="AZ63" s="22"/>
      <c r="BA63" s="24" t="s">
        <v>1399</v>
      </c>
      <c r="BB63" s="32">
        <f>'Indata byggnad och BBR krav'!$AA$9</f>
        <v>0.06</v>
      </c>
      <c r="BC63" s="32">
        <f>'Indata byggnad och BBR krav'!$AA$8</f>
        <v>2.1999999999999999E-2</v>
      </c>
      <c r="BD63" s="32">
        <f>'Indata byggnad och BBR krav'!$AA$10</f>
        <v>2.1999999999999999E-2</v>
      </c>
      <c r="BE63" s="32">
        <f>'Indata byggnad och BBR krav'!$AA$11</f>
        <v>0.26369999999999999</v>
      </c>
      <c r="BF63" s="32">
        <f>'Indata byggnad och BBR krav'!$AA$12</f>
        <v>0.30130000000000001</v>
      </c>
      <c r="BG63" s="191"/>
      <c r="BH63" s="22"/>
      <c r="BI63" s="22"/>
      <c r="BJ63" s="24" t="s">
        <v>1399</v>
      </c>
      <c r="BK63" s="32">
        <f>'Indata byggnad och BBR krav'!$AA$9</f>
        <v>0.06</v>
      </c>
      <c r="BL63" s="32">
        <f>'Indata byggnad och BBR krav'!$AA$8</f>
        <v>2.1999999999999999E-2</v>
      </c>
      <c r="BM63" s="32">
        <f>'Indata byggnad och BBR krav'!$AA$10</f>
        <v>2.1999999999999999E-2</v>
      </c>
      <c r="BN63" s="32">
        <f>'Indata byggnad och BBR krav'!$AA$11</f>
        <v>0.26369999999999999</v>
      </c>
      <c r="BO63" s="32">
        <f>'Indata byggnad och BBR krav'!$AA$12</f>
        <v>0.30130000000000001</v>
      </c>
      <c r="BP63" s="191"/>
    </row>
    <row r="64" spans="4:77" ht="16.5" customHeight="1" thickBot="1" x14ac:dyDescent="0.3">
      <c r="F64" s="249">
        <f t="shared" ca="1" si="161"/>
        <v>2021</v>
      </c>
      <c r="G64" s="249" t="str">
        <f t="shared" ca="1" si="161"/>
        <v>feb</v>
      </c>
      <c r="H64" s="3"/>
      <c r="I64" s="41">
        <f t="shared" si="162"/>
        <v>0</v>
      </c>
      <c r="J64" s="259"/>
      <c r="K64" s="2"/>
      <c r="L64" s="41">
        <f t="shared" si="163"/>
        <v>0</v>
      </c>
      <c r="M64" s="246"/>
      <c r="N64" s="2"/>
      <c r="O64" s="41">
        <f t="shared" si="164"/>
        <v>0</v>
      </c>
      <c r="P64" s="246"/>
      <c r="Q64" s="2"/>
      <c r="R64" s="2"/>
      <c r="S64" s="2"/>
      <c r="T64" s="2"/>
      <c r="U64" s="2"/>
      <c r="V64" s="2"/>
      <c r="X64" s="162"/>
      <c r="Y64" s="162" t="s">
        <v>14</v>
      </c>
      <c r="Z64" s="162" t="s">
        <v>1085</v>
      </c>
      <c r="AA64" s="162" t="s">
        <v>1100</v>
      </c>
      <c r="AB64" s="162" t="s">
        <v>1096</v>
      </c>
      <c r="AC64" s="162" t="s">
        <v>1097</v>
      </c>
      <c r="AD64" s="162" t="s">
        <v>1094</v>
      </c>
      <c r="AF64" s="162"/>
      <c r="AG64" s="162" t="s">
        <v>14</v>
      </c>
      <c r="AH64" s="162" t="s">
        <v>1085</v>
      </c>
      <c r="AI64" s="162" t="s">
        <v>1100</v>
      </c>
      <c r="AJ64" s="162" t="s">
        <v>1096</v>
      </c>
      <c r="AK64" s="162" t="s">
        <v>1097</v>
      </c>
      <c r="AL64" s="162" t="s">
        <v>1094</v>
      </c>
      <c r="AM64" s="162"/>
      <c r="AN64" s="162"/>
      <c r="AO64" s="162"/>
      <c r="AP64" s="162"/>
      <c r="AQ64" s="162"/>
      <c r="AR64" s="162"/>
      <c r="AS64" s="162"/>
      <c r="AT64" s="162"/>
      <c r="AU64" s="162"/>
      <c r="AV64" s="162"/>
      <c r="AW64" s="162"/>
      <c r="AX64" s="162"/>
      <c r="AY64" s="22"/>
      <c r="AZ64" s="297"/>
      <c r="BA64" s="298" t="s">
        <v>1408</v>
      </c>
      <c r="BB64" s="280">
        <f>BB59*1000/'Indata byggnad och BBR krav'!$C$40*'Indata byggnad och BBR krav'!$C$38*BB63</f>
        <v>0</v>
      </c>
      <c r="BC64" s="280">
        <f>BC59*1000/'Indata byggnad och BBR krav'!$C$40*'Indata byggnad och BBR krav'!$C$38*BC63</f>
        <v>0</v>
      </c>
      <c r="BD64" s="280">
        <f>BD59*1000/'Indata byggnad och BBR krav'!$C$40*'Indata byggnad och BBR krav'!$C$38*BD63</f>
        <v>0</v>
      </c>
      <c r="BE64" s="280">
        <f>BE59*1000/'Indata byggnad och BBR krav'!$C$40*'Indata byggnad och BBR krav'!$C$38*BE63</f>
        <v>0</v>
      </c>
      <c r="BF64" s="280">
        <f>BF59*1000/'Indata byggnad och BBR krav'!$C$40*'Indata byggnad och BBR krav'!$C$38*BF63</f>
        <v>0</v>
      </c>
      <c r="BG64" s="281">
        <f>SUM(BB64:BF64)</f>
        <v>0</v>
      </c>
      <c r="BH64" s="22"/>
      <c r="BI64" s="297"/>
      <c r="BJ64" s="298" t="s">
        <v>1408</v>
      </c>
      <c r="BK64" s="280">
        <f>BK59*1000/'Indata byggnad och BBR krav'!$C$40*'Indata byggnad och BBR krav'!$C$38*BK63</f>
        <v>0</v>
      </c>
      <c r="BL64" s="280">
        <f>BL59*1000/'Indata byggnad och BBR krav'!$C$40*'Indata byggnad och BBR krav'!$C$38*BL63</f>
        <v>0</v>
      </c>
      <c r="BM64" s="280">
        <f>BM59*1000/'Indata byggnad och BBR krav'!$C$40*'Indata byggnad och BBR krav'!$C$38*BM63</f>
        <v>0</v>
      </c>
      <c r="BN64" s="280">
        <f>BN59*1000/'Indata byggnad och BBR krav'!$C$40*'Indata byggnad och BBR krav'!$C$38*BN63</f>
        <v>0</v>
      </c>
      <c r="BO64" s="280">
        <f>BO59*1000/'Indata byggnad och BBR krav'!$C$40*'Indata byggnad och BBR krav'!$C$38*BO63</f>
        <v>0</v>
      </c>
      <c r="BP64" s="281">
        <f>SUM(BK64:BO64)</f>
        <v>0</v>
      </c>
    </row>
    <row r="65" spans="2:68" ht="16.5" customHeight="1" thickBot="1" x14ac:dyDescent="0.3">
      <c r="F65" s="249">
        <f t="shared" ca="1" si="161"/>
        <v>2021</v>
      </c>
      <c r="G65" s="249" t="str">
        <f t="shared" ca="1" si="161"/>
        <v>mars</v>
      </c>
      <c r="H65" s="3"/>
      <c r="I65" s="41">
        <f t="shared" si="162"/>
        <v>0</v>
      </c>
      <c r="J65" s="259"/>
      <c r="K65" s="2"/>
      <c r="L65" s="41">
        <f t="shared" si="163"/>
        <v>0</v>
      </c>
      <c r="M65" s="246"/>
      <c r="N65" s="2"/>
      <c r="O65" s="41">
        <f t="shared" si="164"/>
        <v>0</v>
      </c>
      <c r="P65" s="246"/>
      <c r="Q65" s="2"/>
      <c r="R65" s="2"/>
      <c r="S65" s="2"/>
      <c r="T65" s="2"/>
      <c r="U65" s="2"/>
      <c r="V65" s="2"/>
      <c r="X65" s="162"/>
      <c r="Y65" s="164">
        <f>IF($J$40=$Y$64,I63,0)+IF($M$40=$Y$64,L63,0)+IF($P$40=$Y$64,O63,0)</f>
        <v>0</v>
      </c>
      <c r="Z65" s="66">
        <f>IF(OR($J$40="El-panna",$J$40="Värmepump"),I63,0)+IF(OR($M$40="El-panna",$M$40="Värmepump"),L63,0)+IF(OR($P$40="El-panna",$P$40="Värmepump"),O63,0)</f>
        <v>0</v>
      </c>
      <c r="AA65" s="66">
        <f>IF(OR($J$40="Flispanna",$J$40="Pelletspanna",$J$40="Vedpanna"),I63,0)+IF(OR($M$40="Flispanna",$M$40="Pelletspanna",$M$40="Vedpanna"),L63,0)+IF(OR($P$40="Flispanna",$P$40="Pelletspanna",$P$40="Vedpanna"),O63,0)</f>
        <v>0</v>
      </c>
      <c r="AB65" s="67">
        <f>IF($J$40="Gaspanna",I63,0)+IF($M$40="Gaspanna",L63,0)+IF($P$40="Gaspanna",O63,0)</f>
        <v>0</v>
      </c>
      <c r="AC65" s="67">
        <f>IF($J$40="Oljepanna",I63,0)+IF($M$40="Oljepanna",L63,0)+IF($P$40="Oljepanna",O63,0)</f>
        <v>0</v>
      </c>
      <c r="AD65" s="67">
        <f t="shared" ref="AD65:AD76" si="165">Y65+Z65+AA65+AB65+AC65</f>
        <v>0</v>
      </c>
      <c r="AF65" s="162"/>
      <c r="AG65" s="164">
        <f>IF($D$41="Inkluderad i energi för tappvarmvatten",Y44*0.25,IF($D$41="Mäts separat",Y65,0))</f>
        <v>0</v>
      </c>
      <c r="AH65" s="164">
        <f t="shared" ref="AH65:AH76" si="166">IF($D$41="Inkluderad i energi för tappvarmvatten",Z44*0.25,IF($D$41="Mäts separat",Z65,0))</f>
        <v>0</v>
      </c>
      <c r="AI65" s="164">
        <f t="shared" ref="AI65:AI76" si="167">IF($D$41="Inkluderad i energi för tappvarmvatten",AA44*0.25,IF($D$41="Mäts separat",AA65,0))</f>
        <v>0</v>
      </c>
      <c r="AJ65" s="164">
        <f t="shared" ref="AJ65:AJ76" si="168">IF($D$41="Inkluderad i energi för tappvarmvatten",AB44*0.25,IF($D$41="Mäts separat",AB65,0))</f>
        <v>0</v>
      </c>
      <c r="AK65" s="164">
        <f t="shared" ref="AK65:AK76" si="169">IF($D$41="Inkluderad i energi för tappvarmvatten",AC44*0.25,IF($D$41="Mäts separat",AC65,0))</f>
        <v>0</v>
      </c>
      <c r="AL65" s="163">
        <f t="shared" ref="AL65:AL76" si="170">AG65+AH65+AI65+AJ65+AK65</f>
        <v>0</v>
      </c>
      <c r="AM65" s="162"/>
      <c r="AN65" s="162"/>
      <c r="AO65" s="162"/>
      <c r="AP65" s="162"/>
      <c r="AQ65" s="162"/>
      <c r="AR65" s="162"/>
      <c r="AS65" s="162"/>
      <c r="AT65" s="162"/>
      <c r="AU65" s="162"/>
      <c r="AV65" s="162"/>
      <c r="AW65" s="162"/>
      <c r="AX65" s="162"/>
      <c r="AY65" s="22"/>
      <c r="AZ65" s="297"/>
      <c r="BA65" s="299" t="s">
        <v>1448</v>
      </c>
      <c r="BB65" s="280">
        <f>BB59*1000/'Indata byggnad och BBR krav'!$C$16*'Indata byggnad och BBR krav'!$C$38*BB63</f>
        <v>0</v>
      </c>
      <c r="BC65" s="280">
        <f>BC59*1000/'Indata byggnad och BBR krav'!$C$16*'Indata byggnad och BBR krav'!$C$38*BC63</f>
        <v>0</v>
      </c>
      <c r="BD65" s="280">
        <f>BD59*1000/'Indata byggnad och BBR krav'!$C$16*'Indata byggnad och BBR krav'!$C$38*BD63</f>
        <v>0</v>
      </c>
      <c r="BE65" s="280">
        <f>BE59*1000/'Indata byggnad och BBR krav'!$C$16*'Indata byggnad och BBR krav'!$C$38*BE63</f>
        <v>0</v>
      </c>
      <c r="BF65" s="280">
        <f>BF59*1000/'Indata byggnad och BBR krav'!$C$16*'Indata byggnad och BBR krav'!$C$38*BF63</f>
        <v>0</v>
      </c>
      <c r="BG65" s="281">
        <f t="shared" ref="BG65:BG66" si="171">SUM(BB65:BF65)</f>
        <v>0</v>
      </c>
      <c r="BH65" s="22"/>
      <c r="BI65" s="297"/>
      <c r="BJ65" s="299" t="s">
        <v>1448</v>
      </c>
      <c r="BK65" s="280">
        <f>BK59*1000/'Indata byggnad och BBR krav'!$C$16*'Indata byggnad och BBR krav'!$C$38*BK63</f>
        <v>0</v>
      </c>
      <c r="BL65" s="280">
        <f>BL59*1000/'Indata byggnad och BBR krav'!$C$16*'Indata byggnad och BBR krav'!$C$38*BL63</f>
        <v>0</v>
      </c>
      <c r="BM65" s="280">
        <f>BM59*1000/'Indata byggnad och BBR krav'!$C$16*'Indata byggnad och BBR krav'!$C$38*BM63</f>
        <v>0</v>
      </c>
      <c r="BN65" s="280">
        <f>BN59*1000/'Indata byggnad och BBR krav'!$C$16*'Indata byggnad och BBR krav'!$C$38*BN63</f>
        <v>0</v>
      </c>
      <c r="BO65" s="280">
        <f>BO59*1000/'Indata byggnad och BBR krav'!$C$16*'Indata byggnad och BBR krav'!$C$38*BO63</f>
        <v>0</v>
      </c>
      <c r="BP65" s="281">
        <f t="shared" ref="BP65:BP66" si="172">SUM(BK65:BO65)</f>
        <v>0</v>
      </c>
    </row>
    <row r="66" spans="2:68" ht="16.5" customHeight="1" thickBot="1" x14ac:dyDescent="0.3">
      <c r="F66" s="249">
        <f t="shared" ca="1" si="161"/>
        <v>2021</v>
      </c>
      <c r="G66" s="249" t="str">
        <f t="shared" ca="1" si="161"/>
        <v>apr</v>
      </c>
      <c r="H66" s="3"/>
      <c r="I66" s="41">
        <f t="shared" si="162"/>
        <v>0</v>
      </c>
      <c r="J66" s="259"/>
      <c r="K66" s="2"/>
      <c r="L66" s="41">
        <f t="shared" si="163"/>
        <v>0</v>
      </c>
      <c r="M66" s="246"/>
      <c r="N66" s="2"/>
      <c r="O66" s="41">
        <f t="shared" si="164"/>
        <v>0</v>
      </c>
      <c r="P66" s="246"/>
      <c r="Q66" s="2"/>
      <c r="R66" s="2"/>
      <c r="S66" s="2"/>
      <c r="T66" s="2"/>
      <c r="U66" s="2"/>
      <c r="V66" s="2"/>
      <c r="X66" s="162"/>
      <c r="Y66" s="164">
        <f t="shared" ref="Y66:Y76" si="173">IF($J$40=$Y$64,I64,0)+IF($M$40=$Y$64,L64,0)+IF($P$40=$Y$64,O64,0)</f>
        <v>0</v>
      </c>
      <c r="Z66" s="66">
        <f t="shared" ref="Z66:Z76" si="174">IF(OR($J$40="El-panna",$J$40="Värmepump"),I64,0)+IF(OR($M$40="El-panna",$M$40="Värmepump"),L64,0)+IF(OR($P$40="El-panna",$P$40="Värmepump"),O64,0)</f>
        <v>0</v>
      </c>
      <c r="AA66" s="66">
        <f t="shared" ref="AA66:AA76" si="175">IF(OR($J$40="Flispanna",$J$40="Pelletspanna",$J$40="Vedpanna"),I64,0)+IF(OR($M$40="Flispanna",$M$40="Pelletspanna",$M$40="Vedpanna"),L64,0)+IF(OR($P$40="Flispanna",$P$40="Pelletspanna",$P$40="Vedpanna"),O64,0)</f>
        <v>0</v>
      </c>
      <c r="AB66" s="67">
        <f t="shared" ref="AB66:AB76" si="176">IF($J$40="Gaspanna",I64,0)+IF($M$40="Gaspanna",L64,0)+IF($P$40="Gaspanna",O64,0)</f>
        <v>0</v>
      </c>
      <c r="AC66" s="67">
        <f t="shared" ref="AC66:AC76" si="177">IF($J$40="Oljepanna",I64,0)+IF($M$40="Oljepanna",L64,0)+IF($P$40="Oljepanna",O64,0)</f>
        <v>0</v>
      </c>
      <c r="AD66" s="67">
        <f t="shared" si="165"/>
        <v>0</v>
      </c>
      <c r="AF66" s="162"/>
      <c r="AG66" s="164">
        <f t="shared" ref="AG66:AG76" si="178">IF($D$41="Inkluderad i energi för tappvarmvatten",Y45*0.25,IF($D$41="Mäts separat",Y66,0))</f>
        <v>0</v>
      </c>
      <c r="AH66" s="164">
        <f t="shared" si="166"/>
        <v>0</v>
      </c>
      <c r="AI66" s="164">
        <f t="shared" si="167"/>
        <v>0</v>
      </c>
      <c r="AJ66" s="164">
        <f t="shared" si="168"/>
        <v>0</v>
      </c>
      <c r="AK66" s="164">
        <f t="shared" si="169"/>
        <v>0</v>
      </c>
      <c r="AL66" s="163">
        <f t="shared" si="170"/>
        <v>0</v>
      </c>
      <c r="AM66" s="162"/>
      <c r="AN66" s="162"/>
      <c r="AO66" s="162"/>
      <c r="AP66" s="162"/>
      <c r="AQ66" s="162"/>
      <c r="AR66" s="162"/>
      <c r="AS66" s="162"/>
      <c r="AT66" s="162"/>
      <c r="AU66" s="162"/>
      <c r="AV66" s="162"/>
      <c r="AW66" s="162"/>
      <c r="AX66" s="162"/>
      <c r="AY66" s="22"/>
      <c r="AZ66" s="297"/>
      <c r="BA66" s="299" t="s">
        <v>1449</v>
      </c>
      <c r="BB66" s="282">
        <f>BB64/50</f>
        <v>0</v>
      </c>
      <c r="BC66" s="282">
        <f t="shared" ref="BC66:BF66" si="179">BC64/50</f>
        <v>0</v>
      </c>
      <c r="BD66" s="282">
        <f t="shared" si="179"/>
        <v>0</v>
      </c>
      <c r="BE66" s="282">
        <f t="shared" si="179"/>
        <v>0</v>
      </c>
      <c r="BF66" s="282">
        <f t="shared" si="179"/>
        <v>0</v>
      </c>
      <c r="BG66" s="283">
        <f t="shared" si="171"/>
        <v>0</v>
      </c>
      <c r="BH66" s="22"/>
      <c r="BI66" s="297"/>
      <c r="BJ66" s="299" t="s">
        <v>1449</v>
      </c>
      <c r="BK66" s="282">
        <f>BK64/50</f>
        <v>0</v>
      </c>
      <c r="BL66" s="282">
        <f t="shared" ref="BL66:BO66" si="180">BL64/50</f>
        <v>0</v>
      </c>
      <c r="BM66" s="282">
        <f t="shared" si="180"/>
        <v>0</v>
      </c>
      <c r="BN66" s="282">
        <f t="shared" si="180"/>
        <v>0</v>
      </c>
      <c r="BO66" s="282">
        <f t="shared" si="180"/>
        <v>0</v>
      </c>
      <c r="BP66" s="283">
        <f t="shared" si="172"/>
        <v>0</v>
      </c>
    </row>
    <row r="67" spans="2:68" ht="16.5" customHeight="1" x14ac:dyDescent="0.25">
      <c r="F67" s="249">
        <f t="shared" ca="1" si="161"/>
        <v>2021</v>
      </c>
      <c r="G67" s="249" t="str">
        <f t="shared" ca="1" si="161"/>
        <v>maj</v>
      </c>
      <c r="H67" s="3"/>
      <c r="I67" s="41">
        <f t="shared" si="162"/>
        <v>0</v>
      </c>
      <c r="J67" s="259"/>
      <c r="K67" s="2"/>
      <c r="L67" s="41">
        <f t="shared" si="163"/>
        <v>0</v>
      </c>
      <c r="M67" s="246"/>
      <c r="N67" s="2"/>
      <c r="O67" s="41">
        <f t="shared" si="164"/>
        <v>0</v>
      </c>
      <c r="P67" s="246"/>
      <c r="Q67" s="2"/>
      <c r="R67" s="2"/>
      <c r="S67" s="2"/>
      <c r="T67" s="2"/>
      <c r="U67" s="2"/>
      <c r="V67" s="2"/>
      <c r="X67" s="162"/>
      <c r="Y67" s="164">
        <f t="shared" si="173"/>
        <v>0</v>
      </c>
      <c r="Z67" s="66">
        <f t="shared" si="174"/>
        <v>0</v>
      </c>
      <c r="AA67" s="66">
        <f t="shared" si="175"/>
        <v>0</v>
      </c>
      <c r="AB67" s="67">
        <f t="shared" si="176"/>
        <v>0</v>
      </c>
      <c r="AC67" s="67">
        <f t="shared" si="177"/>
        <v>0</v>
      </c>
      <c r="AD67" s="67">
        <f t="shared" si="165"/>
        <v>0</v>
      </c>
      <c r="AF67" s="162"/>
      <c r="AG67" s="164">
        <f t="shared" si="178"/>
        <v>0</v>
      </c>
      <c r="AH67" s="164">
        <f t="shared" si="166"/>
        <v>0</v>
      </c>
      <c r="AI67" s="164">
        <f t="shared" si="167"/>
        <v>0</v>
      </c>
      <c r="AJ67" s="164">
        <f t="shared" si="168"/>
        <v>0</v>
      </c>
      <c r="AK67" s="164">
        <f t="shared" si="169"/>
        <v>0</v>
      </c>
      <c r="AL67" s="163">
        <f t="shared" si="170"/>
        <v>0</v>
      </c>
      <c r="AM67" s="162"/>
      <c r="AN67" s="162"/>
      <c r="AO67" s="162"/>
      <c r="AP67" s="162"/>
      <c r="AQ67" s="162"/>
      <c r="AR67" s="162"/>
      <c r="AS67" s="162"/>
      <c r="AT67" s="162"/>
      <c r="AU67" s="162"/>
      <c r="AV67" s="162"/>
      <c r="AW67" s="162"/>
      <c r="AX67" s="162"/>
      <c r="AY67" s="22"/>
      <c r="AZ67" s="22"/>
      <c r="BA67" s="22"/>
      <c r="BB67" s="22"/>
      <c r="BC67" s="22"/>
      <c r="BD67" s="22"/>
      <c r="BE67" s="22"/>
      <c r="BF67" s="22"/>
      <c r="BG67" s="22"/>
      <c r="BH67" s="22"/>
      <c r="BI67" s="22"/>
      <c r="BJ67" s="22"/>
      <c r="BK67" s="22"/>
    </row>
    <row r="68" spans="2:68" ht="16.5" customHeight="1" x14ac:dyDescent="0.25">
      <c r="F68" s="249">
        <f t="shared" ca="1" si="161"/>
        <v>2021</v>
      </c>
      <c r="G68" s="249" t="str">
        <f t="shared" ca="1" si="161"/>
        <v xml:space="preserve">jun </v>
      </c>
      <c r="H68" s="3"/>
      <c r="I68" s="41">
        <f t="shared" si="162"/>
        <v>0</v>
      </c>
      <c r="J68" s="259"/>
      <c r="K68" s="2"/>
      <c r="L68" s="41">
        <f t="shared" si="163"/>
        <v>0</v>
      </c>
      <c r="M68" s="246"/>
      <c r="N68" s="2"/>
      <c r="O68" s="41">
        <f t="shared" si="164"/>
        <v>0</v>
      </c>
      <c r="P68" s="246"/>
      <c r="Q68" s="2"/>
      <c r="R68" s="2"/>
      <c r="S68" s="2"/>
      <c r="T68" s="2"/>
      <c r="U68" s="2"/>
      <c r="V68" s="2"/>
      <c r="X68" s="162"/>
      <c r="Y68" s="164">
        <f t="shared" si="173"/>
        <v>0</v>
      </c>
      <c r="Z68" s="66">
        <f t="shared" si="174"/>
        <v>0</v>
      </c>
      <c r="AA68" s="66">
        <f t="shared" si="175"/>
        <v>0</v>
      </c>
      <c r="AB68" s="67">
        <f t="shared" si="176"/>
        <v>0</v>
      </c>
      <c r="AC68" s="67">
        <f t="shared" si="177"/>
        <v>0</v>
      </c>
      <c r="AD68" s="67">
        <f t="shared" si="165"/>
        <v>0</v>
      </c>
      <c r="AF68" s="162"/>
      <c r="AG68" s="164">
        <f t="shared" si="178"/>
        <v>0</v>
      </c>
      <c r="AH68" s="164">
        <f t="shared" si="166"/>
        <v>0</v>
      </c>
      <c r="AI68" s="164">
        <f t="shared" si="167"/>
        <v>0</v>
      </c>
      <c r="AJ68" s="164">
        <f t="shared" si="168"/>
        <v>0</v>
      </c>
      <c r="AK68" s="164">
        <f t="shared" si="169"/>
        <v>0</v>
      </c>
      <c r="AL68" s="163">
        <f t="shared" si="170"/>
        <v>0</v>
      </c>
      <c r="AM68" s="162"/>
      <c r="AN68" s="162"/>
      <c r="AO68" s="162"/>
      <c r="AP68" s="162"/>
      <c r="AQ68" s="162"/>
      <c r="AR68" s="162"/>
      <c r="AS68" s="162"/>
      <c r="AT68" s="162"/>
      <c r="AU68" s="162"/>
      <c r="AV68" s="162"/>
      <c r="AW68" s="162"/>
      <c r="AX68" s="162"/>
      <c r="AY68" s="22"/>
      <c r="AZ68" s="22"/>
      <c r="BA68" s="22"/>
      <c r="BB68" s="22"/>
      <c r="BC68" s="22"/>
      <c r="BD68" s="22"/>
      <c r="BE68" s="22"/>
      <c r="BF68" s="22"/>
      <c r="BG68" s="22"/>
      <c r="BH68" s="22"/>
      <c r="BI68" s="22"/>
      <c r="BJ68" s="22"/>
      <c r="BK68" s="22"/>
    </row>
    <row r="69" spans="2:68" ht="16.5" customHeight="1" x14ac:dyDescent="0.25">
      <c r="C69" s="17"/>
      <c r="F69" s="249">
        <f t="shared" ca="1" si="161"/>
        <v>2021</v>
      </c>
      <c r="G69" s="249" t="str">
        <f t="shared" ca="1" si="161"/>
        <v>jul</v>
      </c>
      <c r="H69" s="3"/>
      <c r="I69" s="41">
        <f t="shared" si="162"/>
        <v>0</v>
      </c>
      <c r="J69" s="259"/>
      <c r="K69" s="2"/>
      <c r="L69" s="41">
        <f t="shared" si="163"/>
        <v>0</v>
      </c>
      <c r="M69" s="246"/>
      <c r="N69" s="2"/>
      <c r="O69" s="41">
        <f t="shared" si="164"/>
        <v>0</v>
      </c>
      <c r="P69" s="246"/>
      <c r="Q69" s="2"/>
      <c r="R69" s="2"/>
      <c r="S69" s="2"/>
      <c r="T69" s="2"/>
      <c r="U69" s="2"/>
      <c r="V69" s="2"/>
      <c r="X69" s="162"/>
      <c r="Y69" s="164">
        <f t="shared" si="173"/>
        <v>0</v>
      </c>
      <c r="Z69" s="66">
        <f t="shared" si="174"/>
        <v>0</v>
      </c>
      <c r="AA69" s="66">
        <f t="shared" si="175"/>
        <v>0</v>
      </c>
      <c r="AB69" s="67">
        <f t="shared" si="176"/>
        <v>0</v>
      </c>
      <c r="AC69" s="67">
        <f t="shared" si="177"/>
        <v>0</v>
      </c>
      <c r="AD69" s="67">
        <f t="shared" si="165"/>
        <v>0</v>
      </c>
      <c r="AF69" s="162"/>
      <c r="AG69" s="164">
        <f t="shared" si="178"/>
        <v>0</v>
      </c>
      <c r="AH69" s="164">
        <f t="shared" si="166"/>
        <v>0</v>
      </c>
      <c r="AI69" s="164">
        <f t="shared" si="167"/>
        <v>0</v>
      </c>
      <c r="AJ69" s="164">
        <f t="shared" si="168"/>
        <v>0</v>
      </c>
      <c r="AK69" s="164">
        <f t="shared" si="169"/>
        <v>0</v>
      </c>
      <c r="AL69" s="163">
        <f t="shared" si="170"/>
        <v>0</v>
      </c>
      <c r="AM69" s="162"/>
      <c r="AN69" s="162"/>
      <c r="AO69" s="162"/>
      <c r="AP69" s="162"/>
      <c r="AQ69" s="162"/>
      <c r="AR69" s="162"/>
      <c r="AS69" s="162"/>
      <c r="AT69" s="162"/>
      <c r="AU69" s="162"/>
      <c r="AV69" s="162"/>
      <c r="AW69" s="162"/>
      <c r="AX69" s="162"/>
      <c r="AY69" s="22"/>
      <c r="AZ69" s="22"/>
      <c r="BA69" s="22"/>
      <c r="BB69" s="22"/>
      <c r="BC69" s="22"/>
      <c r="BD69" s="22"/>
      <c r="BE69" s="22"/>
      <c r="BF69" s="22"/>
      <c r="BG69" s="22"/>
      <c r="BH69" s="22"/>
      <c r="BI69" s="22"/>
      <c r="BJ69" s="22"/>
      <c r="BK69" s="22"/>
    </row>
    <row r="70" spans="2:68" ht="16.5" customHeight="1" x14ac:dyDescent="0.25">
      <c r="F70" s="249">
        <f t="shared" ca="1" si="161"/>
        <v>2021</v>
      </c>
      <c r="G70" s="249" t="str">
        <f t="shared" ca="1" si="161"/>
        <v>aug</v>
      </c>
      <c r="H70" s="3"/>
      <c r="I70" s="41">
        <f t="shared" si="162"/>
        <v>0</v>
      </c>
      <c r="J70" s="259"/>
      <c r="K70" s="2"/>
      <c r="L70" s="41">
        <f t="shared" si="163"/>
        <v>0</v>
      </c>
      <c r="M70" s="246"/>
      <c r="N70" s="2"/>
      <c r="O70" s="41">
        <f t="shared" si="164"/>
        <v>0</v>
      </c>
      <c r="P70" s="246"/>
      <c r="Q70" s="2"/>
      <c r="R70" s="2"/>
      <c r="S70" s="2"/>
      <c r="T70" s="2"/>
      <c r="U70" s="2"/>
      <c r="V70" s="2"/>
      <c r="X70" s="162"/>
      <c r="Y70" s="164">
        <f t="shared" si="173"/>
        <v>0</v>
      </c>
      <c r="Z70" s="66">
        <f t="shared" si="174"/>
        <v>0</v>
      </c>
      <c r="AA70" s="66">
        <f t="shared" si="175"/>
        <v>0</v>
      </c>
      <c r="AB70" s="67">
        <f t="shared" si="176"/>
        <v>0</v>
      </c>
      <c r="AC70" s="67">
        <f t="shared" si="177"/>
        <v>0</v>
      </c>
      <c r="AD70" s="67">
        <f t="shared" si="165"/>
        <v>0</v>
      </c>
      <c r="AF70" s="162"/>
      <c r="AG70" s="164">
        <f t="shared" si="178"/>
        <v>0</v>
      </c>
      <c r="AH70" s="164">
        <f t="shared" si="166"/>
        <v>0</v>
      </c>
      <c r="AI70" s="164">
        <f t="shared" si="167"/>
        <v>0</v>
      </c>
      <c r="AJ70" s="164">
        <f t="shared" si="168"/>
        <v>0</v>
      </c>
      <c r="AK70" s="164">
        <f t="shared" si="169"/>
        <v>0</v>
      </c>
      <c r="AL70" s="163">
        <f t="shared" si="170"/>
        <v>0</v>
      </c>
      <c r="AM70" s="162"/>
      <c r="AN70" s="162"/>
      <c r="AO70" s="162"/>
      <c r="AP70" s="162"/>
      <c r="AQ70" s="162"/>
      <c r="AR70" s="162"/>
      <c r="AS70" s="162"/>
      <c r="AT70" s="162"/>
      <c r="AU70" s="162"/>
      <c r="AV70" s="162"/>
      <c r="AW70" s="162"/>
      <c r="AX70" s="162"/>
      <c r="AY70" s="22"/>
      <c r="AZ70" s="22"/>
      <c r="BA70" s="22"/>
      <c r="BB70" s="22"/>
      <c r="BC70" s="22"/>
      <c r="BD70" s="22"/>
      <c r="BE70" s="22"/>
      <c r="BF70" s="22"/>
      <c r="BG70" s="22"/>
      <c r="BH70" s="22"/>
      <c r="BI70" s="22"/>
      <c r="BJ70" s="22"/>
      <c r="BK70" s="22"/>
      <c r="BL70" s="185" t="s">
        <v>1391</v>
      </c>
      <c r="BM70" s="22"/>
      <c r="BN70" s="22"/>
    </row>
    <row r="71" spans="2:68" ht="16.5" customHeight="1" x14ac:dyDescent="0.25">
      <c r="F71" s="249">
        <f t="shared" ca="1" si="161"/>
        <v>2021</v>
      </c>
      <c r="G71" s="249" t="str">
        <f t="shared" ca="1" si="161"/>
        <v>sept</v>
      </c>
      <c r="H71" s="3"/>
      <c r="I71" s="41">
        <f t="shared" si="162"/>
        <v>0</v>
      </c>
      <c r="J71" s="259"/>
      <c r="K71" s="2"/>
      <c r="L71" s="41">
        <f t="shared" si="163"/>
        <v>0</v>
      </c>
      <c r="M71" s="246"/>
      <c r="N71" s="2"/>
      <c r="O71" s="41">
        <f t="shared" si="164"/>
        <v>0</v>
      </c>
      <c r="P71" s="246"/>
      <c r="Q71" s="2"/>
      <c r="R71" s="2"/>
      <c r="S71" s="2"/>
      <c r="T71" s="2"/>
      <c r="U71" s="2"/>
      <c r="V71" s="2"/>
      <c r="X71" s="162"/>
      <c r="Y71" s="164">
        <f t="shared" si="173"/>
        <v>0</v>
      </c>
      <c r="Z71" s="66">
        <f t="shared" si="174"/>
        <v>0</v>
      </c>
      <c r="AA71" s="66">
        <f t="shared" si="175"/>
        <v>0</v>
      </c>
      <c r="AB71" s="67">
        <f t="shared" si="176"/>
        <v>0</v>
      </c>
      <c r="AC71" s="67">
        <f t="shared" si="177"/>
        <v>0</v>
      </c>
      <c r="AD71" s="67">
        <f t="shared" si="165"/>
        <v>0</v>
      </c>
      <c r="AF71" s="162"/>
      <c r="AG71" s="164">
        <f t="shared" si="178"/>
        <v>0</v>
      </c>
      <c r="AH71" s="164">
        <f t="shared" si="166"/>
        <v>0</v>
      </c>
      <c r="AI71" s="164">
        <f t="shared" si="167"/>
        <v>0</v>
      </c>
      <c r="AJ71" s="164">
        <f t="shared" si="168"/>
        <v>0</v>
      </c>
      <c r="AK71" s="164">
        <f t="shared" si="169"/>
        <v>0</v>
      </c>
      <c r="AL71" s="163">
        <f t="shared" si="170"/>
        <v>0</v>
      </c>
      <c r="AM71" s="162"/>
      <c r="AN71" s="162"/>
      <c r="AO71" s="162"/>
      <c r="AP71" s="162"/>
      <c r="AQ71" s="162"/>
      <c r="AR71" s="162"/>
      <c r="AS71" s="162"/>
      <c r="AT71" s="162"/>
      <c r="AU71" s="162"/>
      <c r="AV71" s="162"/>
      <c r="AW71" s="162"/>
      <c r="AX71" s="162"/>
      <c r="AY71" s="22"/>
      <c r="AZ71" s="22"/>
      <c r="BA71" s="22"/>
      <c r="BB71" s="185" t="s">
        <v>1390</v>
      </c>
      <c r="BC71" s="22"/>
      <c r="BD71" s="22"/>
      <c r="BE71" s="22"/>
      <c r="BF71" s="22"/>
      <c r="BG71" s="22"/>
      <c r="BH71" s="22"/>
      <c r="BI71" s="22"/>
      <c r="BJ71" s="22"/>
    </row>
    <row r="72" spans="2:68" ht="16.5" customHeight="1" x14ac:dyDescent="0.25">
      <c r="F72" s="249">
        <f t="shared" ca="1" si="161"/>
        <v>2021</v>
      </c>
      <c r="G72" s="249" t="str">
        <f t="shared" ca="1" si="161"/>
        <v>okt</v>
      </c>
      <c r="H72" s="3"/>
      <c r="I72" s="41">
        <f t="shared" si="162"/>
        <v>0</v>
      </c>
      <c r="J72" s="259"/>
      <c r="K72" s="2"/>
      <c r="L72" s="41">
        <f t="shared" si="163"/>
        <v>0</v>
      </c>
      <c r="M72" s="246"/>
      <c r="N72" s="2"/>
      <c r="O72" s="41">
        <f t="shared" si="164"/>
        <v>0</v>
      </c>
      <c r="P72" s="246"/>
      <c r="Q72" s="2"/>
      <c r="R72" s="2"/>
      <c r="S72" s="2"/>
      <c r="T72" s="2"/>
      <c r="U72" s="2"/>
      <c r="V72" s="2"/>
      <c r="X72" s="162"/>
      <c r="Y72" s="164">
        <f t="shared" si="173"/>
        <v>0</v>
      </c>
      <c r="Z72" s="66">
        <f t="shared" si="174"/>
        <v>0</v>
      </c>
      <c r="AA72" s="66">
        <f t="shared" si="175"/>
        <v>0</v>
      </c>
      <c r="AB72" s="67">
        <f t="shared" si="176"/>
        <v>0</v>
      </c>
      <c r="AC72" s="67">
        <f t="shared" si="177"/>
        <v>0</v>
      </c>
      <c r="AD72" s="67">
        <f t="shared" si="165"/>
        <v>0</v>
      </c>
      <c r="AF72" s="162"/>
      <c r="AG72" s="164">
        <f t="shared" si="178"/>
        <v>0</v>
      </c>
      <c r="AH72" s="164">
        <f t="shared" si="166"/>
        <v>0</v>
      </c>
      <c r="AI72" s="164">
        <f t="shared" si="167"/>
        <v>0</v>
      </c>
      <c r="AJ72" s="164">
        <f t="shared" si="168"/>
        <v>0</v>
      </c>
      <c r="AK72" s="164">
        <f t="shared" si="169"/>
        <v>0</v>
      </c>
      <c r="AL72" s="163">
        <f t="shared" si="170"/>
        <v>0</v>
      </c>
      <c r="AM72" s="162"/>
      <c r="AN72" s="162"/>
      <c r="AO72" s="162"/>
      <c r="AP72" s="162"/>
      <c r="AQ72" s="162"/>
      <c r="AR72" s="162"/>
      <c r="AS72" s="162"/>
      <c r="AT72" s="162"/>
      <c r="AU72" s="162"/>
      <c r="AV72" s="162"/>
      <c r="AW72" s="162"/>
      <c r="AX72" s="162"/>
      <c r="BL72" s="21" t="s">
        <v>1105</v>
      </c>
    </row>
    <row r="73" spans="2:68" ht="16.5" customHeight="1" x14ac:dyDescent="0.25">
      <c r="F73" s="249">
        <f t="shared" ca="1" si="161"/>
        <v>2021</v>
      </c>
      <c r="G73" s="249" t="str">
        <f t="shared" ca="1" si="161"/>
        <v>nov</v>
      </c>
      <c r="H73" s="3"/>
      <c r="I73" s="41">
        <f t="shared" si="162"/>
        <v>0</v>
      </c>
      <c r="J73" s="259"/>
      <c r="K73" s="2"/>
      <c r="L73" s="41">
        <f t="shared" si="163"/>
        <v>0</v>
      </c>
      <c r="M73" s="246"/>
      <c r="N73" s="2"/>
      <c r="O73" s="41">
        <f t="shared" si="164"/>
        <v>0</v>
      </c>
      <c r="P73" s="246"/>
      <c r="Q73" s="2"/>
      <c r="R73" s="2"/>
      <c r="S73" s="2"/>
      <c r="T73" s="2"/>
      <c r="U73" s="2"/>
      <c r="V73" s="2"/>
      <c r="X73" s="162"/>
      <c r="Y73" s="164">
        <f t="shared" si="173"/>
        <v>0</v>
      </c>
      <c r="Z73" s="66">
        <f t="shared" si="174"/>
        <v>0</v>
      </c>
      <c r="AA73" s="66">
        <f t="shared" si="175"/>
        <v>0</v>
      </c>
      <c r="AB73" s="67">
        <f t="shared" si="176"/>
        <v>0</v>
      </c>
      <c r="AC73" s="67">
        <f t="shared" si="177"/>
        <v>0</v>
      </c>
      <c r="AD73" s="67">
        <f t="shared" si="165"/>
        <v>0</v>
      </c>
      <c r="AF73" s="162"/>
      <c r="AG73" s="164">
        <f t="shared" si="178"/>
        <v>0</v>
      </c>
      <c r="AH73" s="164">
        <f t="shared" si="166"/>
        <v>0</v>
      </c>
      <c r="AI73" s="164">
        <f t="shared" si="167"/>
        <v>0</v>
      </c>
      <c r="AJ73" s="164">
        <f t="shared" si="168"/>
        <v>0</v>
      </c>
      <c r="AK73" s="164">
        <f t="shared" si="169"/>
        <v>0</v>
      </c>
      <c r="AL73" s="163">
        <f t="shared" si="170"/>
        <v>0</v>
      </c>
      <c r="AM73" s="162"/>
      <c r="AN73" s="162"/>
      <c r="AO73" s="162"/>
      <c r="AP73" s="162"/>
      <c r="AQ73" s="162"/>
      <c r="AR73" s="162"/>
      <c r="AS73" s="162"/>
      <c r="AT73" s="162"/>
      <c r="AU73" s="162"/>
      <c r="AV73" s="162"/>
      <c r="AW73" s="162"/>
      <c r="AX73" s="162"/>
      <c r="BB73" s="21" t="s">
        <v>1105</v>
      </c>
      <c r="BK73" s="24" t="s">
        <v>1093</v>
      </c>
      <c r="BL73" s="32" t="s">
        <v>25</v>
      </c>
      <c r="BM73" s="32" t="s">
        <v>1085</v>
      </c>
    </row>
    <row r="74" spans="2:68" ht="16.5" customHeight="1" x14ac:dyDescent="0.25">
      <c r="F74" s="249">
        <f t="shared" ca="1" si="161"/>
        <v>2021</v>
      </c>
      <c r="G74" s="249" t="str">
        <f t="shared" ca="1" si="161"/>
        <v>dec</v>
      </c>
      <c r="H74" s="3"/>
      <c r="I74" s="41">
        <f t="shared" si="162"/>
        <v>0</v>
      </c>
      <c r="J74" s="259"/>
      <c r="K74" s="2"/>
      <c r="L74" s="41">
        <f t="shared" si="163"/>
        <v>0</v>
      </c>
      <c r="M74" s="246"/>
      <c r="N74" s="2"/>
      <c r="O74" s="41">
        <f t="shared" si="164"/>
        <v>0</v>
      </c>
      <c r="P74" s="246"/>
      <c r="Q74" s="2"/>
      <c r="R74" s="2"/>
      <c r="S74" s="2"/>
      <c r="T74" s="2"/>
      <c r="U74" s="2"/>
      <c r="V74" s="2"/>
      <c r="X74" s="110"/>
      <c r="Y74" s="164">
        <f t="shared" si="173"/>
        <v>0</v>
      </c>
      <c r="Z74" s="66">
        <f t="shared" si="174"/>
        <v>0</v>
      </c>
      <c r="AA74" s="66">
        <f t="shared" si="175"/>
        <v>0</v>
      </c>
      <c r="AB74" s="67">
        <f t="shared" si="176"/>
        <v>0</v>
      </c>
      <c r="AC74" s="67">
        <f t="shared" si="177"/>
        <v>0</v>
      </c>
      <c r="AD74" s="67">
        <f t="shared" si="165"/>
        <v>0</v>
      </c>
      <c r="AF74" s="162"/>
      <c r="AG74" s="164">
        <f t="shared" si="178"/>
        <v>0</v>
      </c>
      <c r="AH74" s="164">
        <f t="shared" si="166"/>
        <v>0</v>
      </c>
      <c r="AI74" s="164">
        <f t="shared" si="167"/>
        <v>0</v>
      </c>
      <c r="AJ74" s="164">
        <f t="shared" si="168"/>
        <v>0</v>
      </c>
      <c r="AK74" s="164">
        <f t="shared" si="169"/>
        <v>0</v>
      </c>
      <c r="AL74" s="163">
        <f t="shared" si="170"/>
        <v>0</v>
      </c>
      <c r="BA74" s="24" t="s">
        <v>1093</v>
      </c>
      <c r="BB74" s="32" t="s">
        <v>25</v>
      </c>
      <c r="BC74" s="32" t="s">
        <v>1085</v>
      </c>
      <c r="BK74" s="24" t="s">
        <v>1285</v>
      </c>
      <c r="BL74" s="32">
        <v>1</v>
      </c>
      <c r="BM74" s="32">
        <v>1.6</v>
      </c>
    </row>
    <row r="75" spans="2:68" ht="16.5" customHeight="1" x14ac:dyDescent="0.25">
      <c r="D75" s="20"/>
      <c r="E75" s="20"/>
      <c r="I75" s="51">
        <f>SUM(I63:I74)</f>
        <v>0</v>
      </c>
      <c r="J75" s="51">
        <f>SUM(J63:J74)</f>
        <v>0</v>
      </c>
      <c r="L75" s="51">
        <f>SUM(L63:L74)</f>
        <v>0</v>
      </c>
      <c r="M75" s="51">
        <f>SUM(M63:M74)</f>
        <v>0</v>
      </c>
      <c r="O75" s="51">
        <f>SUM(O63:O74)</f>
        <v>0</v>
      </c>
      <c r="P75" s="51">
        <f>SUM(P63:P74)</f>
        <v>0</v>
      </c>
      <c r="X75" s="110"/>
      <c r="Y75" s="164">
        <f t="shared" si="173"/>
        <v>0</v>
      </c>
      <c r="Z75" s="66">
        <f t="shared" si="174"/>
        <v>0</v>
      </c>
      <c r="AA75" s="66">
        <f t="shared" si="175"/>
        <v>0</v>
      </c>
      <c r="AB75" s="67">
        <f t="shared" si="176"/>
        <v>0</v>
      </c>
      <c r="AC75" s="67">
        <f t="shared" si="177"/>
        <v>0</v>
      </c>
      <c r="AD75" s="67">
        <f t="shared" si="165"/>
        <v>0</v>
      </c>
      <c r="AF75" s="162"/>
      <c r="AG75" s="164">
        <f t="shared" si="178"/>
        <v>0</v>
      </c>
      <c r="AH75" s="164">
        <f t="shared" si="166"/>
        <v>0</v>
      </c>
      <c r="AI75" s="164">
        <f t="shared" si="167"/>
        <v>0</v>
      </c>
      <c r="AJ75" s="164">
        <f t="shared" si="168"/>
        <v>0</v>
      </c>
      <c r="AK75" s="164">
        <f t="shared" si="169"/>
        <v>0</v>
      </c>
      <c r="AL75" s="163">
        <f t="shared" si="170"/>
        <v>0</v>
      </c>
      <c r="BA75" s="24" t="s">
        <v>1285</v>
      </c>
      <c r="BB75" s="32">
        <v>1</v>
      </c>
      <c r="BC75" s="32">
        <v>1.6</v>
      </c>
      <c r="BK75" s="24" t="s">
        <v>1286</v>
      </c>
      <c r="BL75" s="32">
        <v>0.6</v>
      </c>
      <c r="BM75" s="32">
        <v>1.8</v>
      </c>
    </row>
    <row r="76" spans="2:68" ht="16.5" customHeight="1" thickBot="1" x14ac:dyDescent="0.3">
      <c r="D76" s="20"/>
      <c r="E76" s="20"/>
      <c r="I76" s="51"/>
      <c r="J76" s="51"/>
      <c r="L76" s="51"/>
      <c r="M76" s="51"/>
      <c r="O76" s="51"/>
      <c r="P76" s="51"/>
      <c r="Y76" s="165">
        <f t="shared" si="173"/>
        <v>0</v>
      </c>
      <c r="Z76" s="68">
        <f t="shared" si="174"/>
        <v>0</v>
      </c>
      <c r="AA76" s="68">
        <f t="shared" si="175"/>
        <v>0</v>
      </c>
      <c r="AB76" s="69">
        <f t="shared" si="176"/>
        <v>0</v>
      </c>
      <c r="AC76" s="69">
        <f t="shared" si="177"/>
        <v>0</v>
      </c>
      <c r="AD76" s="69">
        <f t="shared" si="165"/>
        <v>0</v>
      </c>
      <c r="AG76" s="165">
        <f t="shared" si="178"/>
        <v>0</v>
      </c>
      <c r="AH76" s="165">
        <f t="shared" si="166"/>
        <v>0</v>
      </c>
      <c r="AI76" s="165">
        <f t="shared" si="167"/>
        <v>0</v>
      </c>
      <c r="AJ76" s="165">
        <f t="shared" si="168"/>
        <v>0</v>
      </c>
      <c r="AK76" s="165">
        <f t="shared" si="169"/>
        <v>0</v>
      </c>
      <c r="AL76" s="166">
        <f t="shared" si="170"/>
        <v>0</v>
      </c>
      <c r="BA76" s="24" t="s">
        <v>1286</v>
      </c>
      <c r="BB76" s="32">
        <v>0.6</v>
      </c>
      <c r="BC76" s="32">
        <v>1.8</v>
      </c>
      <c r="BK76" s="24"/>
    </row>
    <row r="77" spans="2:68" ht="16.5" customHeight="1" thickTop="1" x14ac:dyDescent="0.25">
      <c r="B77" s="254">
        <v>3</v>
      </c>
      <c r="C77" s="255" t="s">
        <v>1345</v>
      </c>
      <c r="D77" s="256"/>
      <c r="E77" s="257"/>
      <c r="F77" s="256"/>
      <c r="G77" s="256"/>
      <c r="H77" s="256"/>
      <c r="I77" s="256"/>
      <c r="J77" s="256"/>
      <c r="K77" s="256"/>
      <c r="L77" s="256"/>
      <c r="M77" s="257"/>
      <c r="N77" s="257"/>
      <c r="O77" s="257"/>
      <c r="P77" s="257"/>
      <c r="Q77" s="257"/>
      <c r="R77" s="257"/>
      <c r="S77" s="257"/>
      <c r="T77" s="257"/>
      <c r="U77" s="257"/>
      <c r="V77" s="257"/>
      <c r="W77" s="258"/>
      <c r="X77" s="110" t="s">
        <v>1295</v>
      </c>
      <c r="Y77" s="167">
        <f t="shared" ref="Y77:AD77" si="181">SUM(Y65:Y76)</f>
        <v>0</v>
      </c>
      <c r="Z77" s="167">
        <f t="shared" si="181"/>
        <v>0</v>
      </c>
      <c r="AA77" s="167">
        <f t="shared" si="181"/>
        <v>0</v>
      </c>
      <c r="AB77" s="167">
        <f t="shared" si="181"/>
        <v>0</v>
      </c>
      <c r="AC77" s="168">
        <f t="shared" si="181"/>
        <v>0</v>
      </c>
      <c r="AD77" s="167">
        <f t="shared" si="181"/>
        <v>0</v>
      </c>
      <c r="AF77" s="110" t="s">
        <v>1295</v>
      </c>
      <c r="AG77" s="58">
        <f t="shared" ref="AG77:AL77" si="182">SUM(AG65:AG76)</f>
        <v>0</v>
      </c>
      <c r="AH77" s="58">
        <f t="shared" si="182"/>
        <v>0</v>
      </c>
      <c r="AI77" s="58">
        <f t="shared" si="182"/>
        <v>0</v>
      </c>
      <c r="AJ77" s="58">
        <f t="shared" si="182"/>
        <v>0</v>
      </c>
      <c r="AK77" s="229">
        <f t="shared" si="182"/>
        <v>0</v>
      </c>
      <c r="AL77" s="167">
        <f t="shared" si="182"/>
        <v>0</v>
      </c>
      <c r="BA77" s="24"/>
      <c r="BL77" s="22" t="str">
        <f>BL73</f>
        <v>Fjärrkyla</v>
      </c>
      <c r="BM77" s="22" t="str">
        <f>BM73</f>
        <v>El</v>
      </c>
      <c r="BN77" s="22" t="s">
        <v>1094</v>
      </c>
    </row>
    <row r="78" spans="2:68" ht="16.5" customHeight="1" x14ac:dyDescent="0.25">
      <c r="X78" s="110" t="s">
        <v>1375</v>
      </c>
      <c r="Y78" s="163">
        <f>IF(Y77&gt;0,Y77*(Y57/Y56),0)</f>
        <v>0</v>
      </c>
      <c r="Z78" s="163">
        <f t="shared" ref="Z78:AC78" si="183">IF(Z77&gt;0,Z77*(Z57/Z56),0)</f>
        <v>0</v>
      </c>
      <c r="AA78" s="163">
        <f t="shared" si="183"/>
        <v>0</v>
      </c>
      <c r="AB78" s="163">
        <f t="shared" si="183"/>
        <v>0</v>
      </c>
      <c r="AC78" s="163">
        <f t="shared" si="183"/>
        <v>0</v>
      </c>
      <c r="AD78" s="167">
        <f>SUM(Y78:AC78)</f>
        <v>0</v>
      </c>
      <c r="AE78" s="110"/>
      <c r="AF78" s="110" t="s">
        <v>1375</v>
      </c>
      <c r="AG78" s="163">
        <f>IF(AG77&gt;0,AG77*(Y57/Y56),0)</f>
        <v>0</v>
      </c>
      <c r="AH78" s="163">
        <f t="shared" ref="AH78:AK78" si="184">IF(AH77&gt;0,AH77*(Z57/Z56),0)</f>
        <v>0</v>
      </c>
      <c r="AI78" s="163">
        <f t="shared" si="184"/>
        <v>0</v>
      </c>
      <c r="AJ78" s="163">
        <f t="shared" si="184"/>
        <v>0</v>
      </c>
      <c r="AK78" s="163">
        <f t="shared" si="184"/>
        <v>0</v>
      </c>
      <c r="AL78" s="167">
        <f>SUM(AG78:AK78)</f>
        <v>0</v>
      </c>
      <c r="BB78" s="22" t="str">
        <f>BB74</f>
        <v>Fjärrkyla</v>
      </c>
      <c r="BC78" s="22" t="str">
        <f>BC74</f>
        <v>El</v>
      </c>
      <c r="BD78" s="22" t="s">
        <v>1094</v>
      </c>
      <c r="BL78" s="74">
        <f t="shared" ref="BL78:BL89" si="185">Y82</f>
        <v>0</v>
      </c>
      <c r="BM78" s="74">
        <f t="shared" ref="BM78:BM89" si="186">Z82</f>
        <v>0</v>
      </c>
      <c r="BN78" s="32">
        <f>BL78+BM78</f>
        <v>0</v>
      </c>
    </row>
    <row r="79" spans="2:68" ht="16.5" customHeight="1" x14ac:dyDescent="0.25">
      <c r="F79" s="350" t="s">
        <v>1138</v>
      </c>
      <c r="G79" s="350"/>
      <c r="I79" s="60" t="s">
        <v>1047</v>
      </c>
      <c r="L79" s="60" t="s">
        <v>1048</v>
      </c>
      <c r="O79" s="60" t="s">
        <v>1049</v>
      </c>
      <c r="X79" s="110"/>
      <c r="Y79" s="86"/>
      <c r="Z79" s="162"/>
      <c r="AC79" s="84" t="s">
        <v>1371</v>
      </c>
      <c r="BB79" s="74">
        <f>Y82</f>
        <v>0</v>
      </c>
      <c r="BC79" s="74">
        <f>Z82</f>
        <v>0</v>
      </c>
      <c r="BD79" s="32">
        <f>BB79+BC79</f>
        <v>0</v>
      </c>
      <c r="BL79" s="74">
        <f t="shared" si="185"/>
        <v>0</v>
      </c>
      <c r="BM79" s="74">
        <f t="shared" si="186"/>
        <v>0</v>
      </c>
      <c r="BN79" s="32">
        <f t="shared" ref="BN79:BN90" si="187">BL79+BM79</f>
        <v>0</v>
      </c>
    </row>
    <row r="80" spans="2:68" ht="16.5" customHeight="1" x14ac:dyDescent="0.25">
      <c r="C80" s="33" t="s">
        <v>1050</v>
      </c>
      <c r="D80" s="242">
        <v>0</v>
      </c>
      <c r="F80" s="34" t="s">
        <v>9</v>
      </c>
      <c r="G80" s="249">
        <f>$G$14</f>
        <v>2021</v>
      </c>
      <c r="H80" s="3"/>
      <c r="I80" s="33" t="s">
        <v>1081</v>
      </c>
      <c r="J80" s="242" t="s">
        <v>25</v>
      </c>
      <c r="K80" s="3"/>
      <c r="L80" s="33" t="s">
        <v>1081</v>
      </c>
      <c r="M80" s="242" t="s">
        <v>26</v>
      </c>
      <c r="N80" s="3"/>
      <c r="O80" s="33" t="s">
        <v>1081</v>
      </c>
      <c r="P80" s="242" t="s">
        <v>26</v>
      </c>
      <c r="Q80" s="3"/>
      <c r="R80" s="3"/>
      <c r="S80" s="3"/>
      <c r="T80" s="3"/>
      <c r="U80" s="3"/>
      <c r="V80" s="3"/>
      <c r="X80" s="110"/>
      <c r="Y80" s="86" t="s">
        <v>1105</v>
      </c>
      <c r="Z80" s="110"/>
      <c r="AA80" s="110"/>
      <c r="AC80" s="86" t="s">
        <v>1105</v>
      </c>
      <c r="BB80" s="74">
        <f t="shared" ref="BB80:BB90" si="188">Y83</f>
        <v>0</v>
      </c>
      <c r="BC80" s="74">
        <f t="shared" ref="BC80:BC90" si="189">Z83</f>
        <v>0</v>
      </c>
      <c r="BD80" s="32">
        <f t="shared" ref="BD80:BD90" si="190">BB80+BC80</f>
        <v>0</v>
      </c>
      <c r="BL80" s="74">
        <f t="shared" si="185"/>
        <v>0</v>
      </c>
      <c r="BM80" s="74">
        <f t="shared" si="186"/>
        <v>0</v>
      </c>
      <c r="BN80" s="32">
        <f t="shared" si="187"/>
        <v>0</v>
      </c>
    </row>
    <row r="81" spans="3:66" ht="16.5" customHeight="1" x14ac:dyDescent="0.25">
      <c r="C81" s="152" t="s">
        <v>1354</v>
      </c>
      <c r="F81" s="34" t="s">
        <v>19</v>
      </c>
      <c r="G81" s="249" t="str">
        <f>$G$15</f>
        <v>jan</v>
      </c>
      <c r="H81" s="3"/>
      <c r="I81" s="33" t="s">
        <v>13</v>
      </c>
      <c r="J81" s="246">
        <v>1</v>
      </c>
      <c r="K81" s="2"/>
      <c r="L81" s="33" t="s">
        <v>13</v>
      </c>
      <c r="M81" s="246">
        <v>2.5</v>
      </c>
      <c r="N81" s="2"/>
      <c r="O81" s="33" t="s">
        <v>13</v>
      </c>
      <c r="P81" s="246">
        <v>2.5</v>
      </c>
      <c r="Q81" s="2"/>
      <c r="R81" s="2"/>
      <c r="S81" s="2"/>
      <c r="T81" s="2"/>
      <c r="U81" s="2"/>
      <c r="V81" s="2"/>
      <c r="Y81" s="85" t="s">
        <v>25</v>
      </c>
      <c r="Z81" s="85" t="s">
        <v>26</v>
      </c>
      <c r="AA81" s="162" t="s">
        <v>1094</v>
      </c>
      <c r="AC81" s="162" t="s">
        <v>25</v>
      </c>
      <c r="AD81" s="162" t="s">
        <v>26</v>
      </c>
      <c r="AE81" s="162" t="s">
        <v>1248</v>
      </c>
      <c r="AF81" s="162" t="s">
        <v>1094</v>
      </c>
      <c r="AG81" s="84" t="s">
        <v>1368</v>
      </c>
      <c r="BB81" s="74">
        <f t="shared" si="188"/>
        <v>0</v>
      </c>
      <c r="BC81" s="74">
        <f t="shared" si="189"/>
        <v>0</v>
      </c>
      <c r="BD81" s="32">
        <f t="shared" si="190"/>
        <v>0</v>
      </c>
      <c r="BL81" s="74">
        <f t="shared" si="185"/>
        <v>0</v>
      </c>
      <c r="BM81" s="74">
        <f t="shared" si="186"/>
        <v>0</v>
      </c>
      <c r="BN81" s="32">
        <f t="shared" si="187"/>
        <v>0</v>
      </c>
    </row>
    <row r="82" spans="3:66" ht="16.5" customHeight="1" x14ac:dyDescent="0.25">
      <c r="C82" s="351"/>
      <c r="D82" s="352"/>
      <c r="F82" s="60"/>
      <c r="G82" s="3"/>
      <c r="H82" s="3"/>
      <c r="I82" s="34" t="s">
        <v>1136</v>
      </c>
      <c r="J82" s="242" t="s">
        <v>1075</v>
      </c>
      <c r="K82" s="2"/>
      <c r="L82" s="34" t="s">
        <v>1136</v>
      </c>
      <c r="M82" s="242" t="s">
        <v>1046</v>
      </c>
      <c r="N82" s="2"/>
      <c r="O82" s="34" t="s">
        <v>1136</v>
      </c>
      <c r="P82" s="242" t="s">
        <v>1046</v>
      </c>
      <c r="Q82" s="3"/>
      <c r="R82" s="3"/>
      <c r="S82" s="3"/>
      <c r="T82" s="3"/>
      <c r="U82" s="3"/>
      <c r="V82" s="3"/>
      <c r="Y82" s="171">
        <f>IF($J$80=$Y$81,$I$85,0)+IF($M$80=$Y$81,$L$85,0)+IF($P$80=$Y$81,$O$85,0)</f>
        <v>0</v>
      </c>
      <c r="Z82" s="171">
        <f>IF($J$80=$Z$81,$I$85,0)+IF($M$80=$Z$81,$L$85,0)+IF($P$80=$Z$81,$O$85,0)</f>
        <v>0</v>
      </c>
      <c r="AA82" s="35">
        <f>Y82+Z82</f>
        <v>0</v>
      </c>
      <c r="AC82" s="171">
        <f>Y82</f>
        <v>0</v>
      </c>
      <c r="AD82" s="180">
        <f>Z82</f>
        <v>0</v>
      </c>
      <c r="AE82" s="163">
        <f>AD82-AB130</f>
        <v>0</v>
      </c>
      <c r="AF82" s="132">
        <f>AC82+AE82</f>
        <v>0</v>
      </c>
      <c r="AG82" s="237" t="str">
        <f>IF(AE82&lt;0,"Fel i indata","")</f>
        <v/>
      </c>
      <c r="BB82" s="74">
        <f t="shared" si="188"/>
        <v>0</v>
      </c>
      <c r="BC82" s="74">
        <f t="shared" si="189"/>
        <v>0</v>
      </c>
      <c r="BD82" s="32">
        <f t="shared" si="190"/>
        <v>0</v>
      </c>
      <c r="BL82" s="74">
        <f t="shared" si="185"/>
        <v>0</v>
      </c>
      <c r="BM82" s="74">
        <f t="shared" si="186"/>
        <v>0</v>
      </c>
      <c r="BN82" s="32">
        <f t="shared" si="187"/>
        <v>0</v>
      </c>
    </row>
    <row r="83" spans="3:66" ht="16.5" customHeight="1" x14ac:dyDescent="0.25">
      <c r="C83" s="353"/>
      <c r="D83" s="354"/>
      <c r="G83" s="3"/>
      <c r="H83" s="3"/>
      <c r="I83" s="64"/>
      <c r="J83" s="40" t="s">
        <v>1132</v>
      </c>
      <c r="K83" s="40"/>
      <c r="L83" s="64"/>
      <c r="M83" s="40" t="s">
        <v>1132</v>
      </c>
      <c r="N83" s="40"/>
      <c r="O83" s="40"/>
      <c r="P83" s="40" t="s">
        <v>1132</v>
      </c>
      <c r="Q83" s="40"/>
      <c r="R83" s="40"/>
      <c r="S83" s="40"/>
      <c r="T83" s="40"/>
      <c r="U83" s="40"/>
      <c r="V83" s="40"/>
      <c r="Y83" s="171">
        <f t="shared" ref="Y83:Y93" si="191">IF($J$80=$Y$81,I86,0)+IF($M$80=$Y$81,L86,0)+IF($P$80=$Y$81,O86,0)</f>
        <v>0</v>
      </c>
      <c r="Z83" s="171">
        <f t="shared" ref="Z83:Z93" si="192">IF($J$80=$Z$81,I86,0)+IF($M$80=$Z$81,L86,0)+IF($P$80=$Z$81,O86,0)</f>
        <v>0</v>
      </c>
      <c r="AA83" s="35">
        <f t="shared" ref="AA83:AA93" si="193">Y83+Z83</f>
        <v>0</v>
      </c>
      <c r="AC83" s="171">
        <f t="shared" ref="AC83:AC93" si="194">Y83</f>
        <v>0</v>
      </c>
      <c r="AD83" s="180">
        <f t="shared" ref="AD83:AD93" si="195">Z83</f>
        <v>0</v>
      </c>
      <c r="AE83" s="163">
        <f t="shared" ref="AE83:AE93" si="196">AD83-AB131</f>
        <v>0</v>
      </c>
      <c r="AF83" s="132">
        <f t="shared" ref="AF83:AF93" si="197">AC83+AE83</f>
        <v>0</v>
      </c>
      <c r="AG83" s="237" t="str">
        <f t="shared" ref="AG83:AG93" si="198">IF(AE83&lt;0,"Fel i indata","")</f>
        <v/>
      </c>
      <c r="BB83" s="74">
        <f t="shared" si="188"/>
        <v>0</v>
      </c>
      <c r="BC83" s="74">
        <f t="shared" si="189"/>
        <v>0</v>
      </c>
      <c r="BD83" s="32">
        <f t="shared" si="190"/>
        <v>0</v>
      </c>
      <c r="BL83" s="74">
        <f t="shared" si="185"/>
        <v>0</v>
      </c>
      <c r="BM83" s="74">
        <f t="shared" si="186"/>
        <v>0</v>
      </c>
      <c r="BN83" s="32">
        <f t="shared" si="187"/>
        <v>0</v>
      </c>
    </row>
    <row r="84" spans="3:66" ht="16.5" customHeight="1" x14ac:dyDescent="0.25">
      <c r="C84" s="353"/>
      <c r="D84" s="354"/>
      <c r="F84" s="262" t="s">
        <v>1044</v>
      </c>
      <c r="G84" s="262" t="s">
        <v>1045</v>
      </c>
      <c r="H84" s="3"/>
      <c r="I84" s="23" t="s">
        <v>1075</v>
      </c>
      <c r="J84" s="262" t="str">
        <f>J82</f>
        <v>Levererad energi</v>
      </c>
      <c r="K84" s="3"/>
      <c r="L84" s="23" t="s">
        <v>1075</v>
      </c>
      <c r="M84" s="262" t="str">
        <f>M82</f>
        <v>Producerad energi</v>
      </c>
      <c r="N84" s="3"/>
      <c r="O84" s="23" t="s">
        <v>1075</v>
      </c>
      <c r="P84" s="262" t="str">
        <f>P82</f>
        <v>Producerad energi</v>
      </c>
      <c r="Q84" s="3"/>
      <c r="R84" s="3"/>
      <c r="S84" s="3"/>
      <c r="T84" s="3"/>
      <c r="U84" s="3"/>
      <c r="V84" s="3"/>
      <c r="Y84" s="171">
        <f t="shared" si="191"/>
        <v>0</v>
      </c>
      <c r="Z84" s="171">
        <f t="shared" si="192"/>
        <v>0</v>
      </c>
      <c r="AA84" s="35">
        <f t="shared" si="193"/>
        <v>0</v>
      </c>
      <c r="AC84" s="171">
        <f t="shared" si="194"/>
        <v>0</v>
      </c>
      <c r="AD84" s="180">
        <f t="shared" si="195"/>
        <v>0</v>
      </c>
      <c r="AE84" s="163">
        <f t="shared" si="196"/>
        <v>0</v>
      </c>
      <c r="AF84" s="132">
        <f t="shared" si="197"/>
        <v>0</v>
      </c>
      <c r="AG84" s="237" t="str">
        <f t="shared" si="198"/>
        <v/>
      </c>
      <c r="BB84" s="74">
        <f t="shared" si="188"/>
        <v>0</v>
      </c>
      <c r="BC84" s="74">
        <f t="shared" si="189"/>
        <v>0</v>
      </c>
      <c r="BD84" s="32">
        <f t="shared" si="190"/>
        <v>0</v>
      </c>
      <c r="BL84" s="74">
        <f t="shared" si="185"/>
        <v>0</v>
      </c>
      <c r="BM84" s="74">
        <f t="shared" si="186"/>
        <v>0</v>
      </c>
      <c r="BN84" s="32">
        <f t="shared" si="187"/>
        <v>0</v>
      </c>
    </row>
    <row r="85" spans="3:66" ht="16.5" customHeight="1" x14ac:dyDescent="0.25">
      <c r="C85" s="355"/>
      <c r="D85" s="356"/>
      <c r="E85" s="20"/>
      <c r="F85" s="249">
        <f>G80</f>
        <v>2021</v>
      </c>
      <c r="G85" s="249" t="str">
        <f t="shared" ref="G85:G96" ca="1" si="199">OFFSET($EI$2,$EI$40+ROW(F85)-ROW($F$85),0)</f>
        <v>jan</v>
      </c>
      <c r="H85" s="3"/>
      <c r="I85" s="73">
        <f t="shared" ref="I85:I96" si="200">IF($D$80&gt;0,IF($I$84=$J$84,J85,J85/$J$81),0)</f>
        <v>0</v>
      </c>
      <c r="J85" s="246"/>
      <c r="K85" s="2"/>
      <c r="L85" s="73">
        <f t="shared" ref="L85:L96" si="201">IF($D$80&gt;1,IF($L$84=$M$84,M85,M85/$M$81),0)</f>
        <v>0</v>
      </c>
      <c r="M85" s="246"/>
      <c r="N85" s="2"/>
      <c r="O85" s="73">
        <f>IF($D$80&gt;2,IF($O$84=$P$84,P85,P85/$P$81),0)</f>
        <v>0</v>
      </c>
      <c r="P85" s="246"/>
      <c r="Q85" s="2"/>
      <c r="R85" s="2"/>
      <c r="S85" s="2"/>
      <c r="T85" s="2"/>
      <c r="U85" s="2"/>
      <c r="V85" s="2"/>
      <c r="Y85" s="171">
        <f t="shared" si="191"/>
        <v>0</v>
      </c>
      <c r="Z85" s="171">
        <f t="shared" si="192"/>
        <v>0</v>
      </c>
      <c r="AA85" s="35">
        <f t="shared" si="193"/>
        <v>0</v>
      </c>
      <c r="AC85" s="171">
        <f t="shared" si="194"/>
        <v>0</v>
      </c>
      <c r="AD85" s="180">
        <f t="shared" si="195"/>
        <v>0</v>
      </c>
      <c r="AE85" s="163">
        <f t="shared" si="196"/>
        <v>0</v>
      </c>
      <c r="AF85" s="132">
        <f t="shared" si="197"/>
        <v>0</v>
      </c>
      <c r="AG85" s="237" t="str">
        <f t="shared" si="198"/>
        <v/>
      </c>
      <c r="BB85" s="74">
        <f t="shared" si="188"/>
        <v>0</v>
      </c>
      <c r="BC85" s="74">
        <f t="shared" si="189"/>
        <v>0</v>
      </c>
      <c r="BD85" s="32">
        <f t="shared" si="190"/>
        <v>0</v>
      </c>
      <c r="BL85" s="74">
        <f t="shared" si="185"/>
        <v>0</v>
      </c>
      <c r="BM85" s="74">
        <f t="shared" si="186"/>
        <v>0</v>
      </c>
      <c r="BN85" s="32">
        <f t="shared" si="187"/>
        <v>0</v>
      </c>
    </row>
    <row r="86" spans="3:66" ht="16.5" customHeight="1" x14ac:dyDescent="0.25">
      <c r="F86" s="249">
        <f ca="1">IF(G86="jan",F85+1,F85)</f>
        <v>2021</v>
      </c>
      <c r="G86" s="249" t="str">
        <f t="shared" ca="1" si="199"/>
        <v>feb</v>
      </c>
      <c r="H86" s="3"/>
      <c r="I86" s="73">
        <f t="shared" si="200"/>
        <v>0</v>
      </c>
      <c r="J86" s="246"/>
      <c r="K86" s="2"/>
      <c r="L86" s="73">
        <f t="shared" si="201"/>
        <v>0</v>
      </c>
      <c r="M86" s="246"/>
      <c r="N86" s="2"/>
      <c r="O86" s="73">
        <f t="shared" ref="O86:O96" si="202">IF($D$80&gt;2,IF($O$84=$P$84,P86,P86/$P$81),0)</f>
        <v>0</v>
      </c>
      <c r="P86" s="246"/>
      <c r="Q86" s="2"/>
      <c r="R86" s="2"/>
      <c r="S86" s="2"/>
      <c r="T86" s="2"/>
      <c r="U86" s="2"/>
      <c r="V86" s="2"/>
      <c r="Y86" s="171">
        <f t="shared" si="191"/>
        <v>0</v>
      </c>
      <c r="Z86" s="171">
        <f t="shared" si="192"/>
        <v>0</v>
      </c>
      <c r="AA86" s="35">
        <f t="shared" si="193"/>
        <v>0</v>
      </c>
      <c r="AC86" s="171">
        <f t="shared" si="194"/>
        <v>0</v>
      </c>
      <c r="AD86" s="180">
        <f t="shared" si="195"/>
        <v>0</v>
      </c>
      <c r="AE86" s="163">
        <f t="shared" si="196"/>
        <v>0</v>
      </c>
      <c r="AF86" s="132">
        <f t="shared" si="197"/>
        <v>0</v>
      </c>
      <c r="AG86" s="237" t="str">
        <f t="shared" si="198"/>
        <v/>
      </c>
      <c r="BB86" s="74">
        <f t="shared" si="188"/>
        <v>0</v>
      </c>
      <c r="BC86" s="74">
        <f t="shared" si="189"/>
        <v>0</v>
      </c>
      <c r="BD86" s="32">
        <f t="shared" si="190"/>
        <v>0</v>
      </c>
      <c r="BL86" s="74">
        <f t="shared" si="185"/>
        <v>0</v>
      </c>
      <c r="BM86" s="74">
        <f t="shared" si="186"/>
        <v>0</v>
      </c>
      <c r="BN86" s="32">
        <f t="shared" si="187"/>
        <v>0</v>
      </c>
    </row>
    <row r="87" spans="3:66" ht="16.5" customHeight="1" x14ac:dyDescent="0.25">
      <c r="F87" s="249">
        <f t="shared" ref="F87:F96" ca="1" si="203">IF(G87="jan",F86+1,F86)</f>
        <v>2021</v>
      </c>
      <c r="G87" s="249" t="str">
        <f t="shared" ca="1" si="199"/>
        <v>mars</v>
      </c>
      <c r="H87" s="3"/>
      <c r="I87" s="73">
        <f t="shared" si="200"/>
        <v>0</v>
      </c>
      <c r="J87" s="246"/>
      <c r="K87" s="2"/>
      <c r="L87" s="73">
        <f t="shared" si="201"/>
        <v>0</v>
      </c>
      <c r="M87" s="246"/>
      <c r="N87" s="2"/>
      <c r="O87" s="73">
        <f t="shared" si="202"/>
        <v>0</v>
      </c>
      <c r="P87" s="246"/>
      <c r="Q87" s="2"/>
      <c r="R87" s="2"/>
      <c r="S87" s="2"/>
      <c r="T87" s="2"/>
      <c r="U87" s="2"/>
      <c r="V87" s="2"/>
      <c r="Y87" s="171">
        <f t="shared" si="191"/>
        <v>0</v>
      </c>
      <c r="Z87" s="171">
        <f t="shared" si="192"/>
        <v>0</v>
      </c>
      <c r="AA87" s="35">
        <f t="shared" si="193"/>
        <v>0</v>
      </c>
      <c r="AC87" s="171">
        <f t="shared" si="194"/>
        <v>0</v>
      </c>
      <c r="AD87" s="180">
        <f t="shared" si="195"/>
        <v>0</v>
      </c>
      <c r="AE87" s="163">
        <f t="shared" si="196"/>
        <v>0</v>
      </c>
      <c r="AF87" s="132">
        <f t="shared" si="197"/>
        <v>0</v>
      </c>
      <c r="AG87" s="237" t="str">
        <f t="shared" si="198"/>
        <v/>
      </c>
      <c r="BB87" s="74">
        <f t="shared" si="188"/>
        <v>0</v>
      </c>
      <c r="BC87" s="74">
        <f t="shared" si="189"/>
        <v>0</v>
      </c>
      <c r="BD87" s="32">
        <f t="shared" si="190"/>
        <v>0</v>
      </c>
      <c r="BL87" s="74">
        <f t="shared" si="185"/>
        <v>0</v>
      </c>
      <c r="BM87" s="74">
        <f t="shared" si="186"/>
        <v>0</v>
      </c>
      <c r="BN87" s="32">
        <f t="shared" si="187"/>
        <v>0</v>
      </c>
    </row>
    <row r="88" spans="3:66" ht="16.5" customHeight="1" x14ac:dyDescent="0.25">
      <c r="F88" s="249">
        <f t="shared" ca="1" si="203"/>
        <v>2021</v>
      </c>
      <c r="G88" s="249" t="str">
        <f t="shared" ca="1" si="199"/>
        <v>apr</v>
      </c>
      <c r="H88" s="3"/>
      <c r="I88" s="73">
        <f t="shared" si="200"/>
        <v>0</v>
      </c>
      <c r="J88" s="246"/>
      <c r="K88" s="2"/>
      <c r="L88" s="73">
        <f t="shared" si="201"/>
        <v>0</v>
      </c>
      <c r="M88" s="246"/>
      <c r="N88" s="2"/>
      <c r="O88" s="73">
        <f t="shared" si="202"/>
        <v>0</v>
      </c>
      <c r="P88" s="246"/>
      <c r="Q88" s="2"/>
      <c r="R88" s="2"/>
      <c r="S88" s="2"/>
      <c r="T88" s="2"/>
      <c r="U88" s="2"/>
      <c r="V88" s="2"/>
      <c r="Y88" s="171">
        <f t="shared" si="191"/>
        <v>0</v>
      </c>
      <c r="Z88" s="171">
        <f t="shared" si="192"/>
        <v>0</v>
      </c>
      <c r="AA88" s="35">
        <f t="shared" si="193"/>
        <v>0</v>
      </c>
      <c r="AC88" s="171">
        <f t="shared" si="194"/>
        <v>0</v>
      </c>
      <c r="AD88" s="180">
        <f t="shared" si="195"/>
        <v>0</v>
      </c>
      <c r="AE88" s="163">
        <f t="shared" si="196"/>
        <v>0</v>
      </c>
      <c r="AF88" s="132">
        <f t="shared" si="197"/>
        <v>0</v>
      </c>
      <c r="AG88" s="237" t="str">
        <f t="shared" si="198"/>
        <v/>
      </c>
      <c r="BB88" s="74">
        <f t="shared" si="188"/>
        <v>0</v>
      </c>
      <c r="BC88" s="74">
        <f t="shared" si="189"/>
        <v>0</v>
      </c>
      <c r="BD88" s="32">
        <f t="shared" si="190"/>
        <v>0</v>
      </c>
      <c r="BL88" s="74">
        <f t="shared" si="185"/>
        <v>0</v>
      </c>
      <c r="BM88" s="74">
        <f t="shared" si="186"/>
        <v>0</v>
      </c>
      <c r="BN88" s="32">
        <f t="shared" si="187"/>
        <v>0</v>
      </c>
    </row>
    <row r="89" spans="3:66" ht="16.5" customHeight="1" thickBot="1" x14ac:dyDescent="0.3">
      <c r="F89" s="249">
        <f t="shared" ca="1" si="203"/>
        <v>2021</v>
      </c>
      <c r="G89" s="249" t="str">
        <f t="shared" ca="1" si="199"/>
        <v>maj</v>
      </c>
      <c r="H89" s="3"/>
      <c r="I89" s="73">
        <f t="shared" si="200"/>
        <v>0</v>
      </c>
      <c r="J89" s="246"/>
      <c r="K89" s="2"/>
      <c r="L89" s="73">
        <f t="shared" si="201"/>
        <v>0</v>
      </c>
      <c r="M89" s="246"/>
      <c r="N89" s="2"/>
      <c r="O89" s="73">
        <f t="shared" si="202"/>
        <v>0</v>
      </c>
      <c r="P89" s="246"/>
      <c r="Q89" s="2"/>
      <c r="R89" s="2"/>
      <c r="S89" s="2"/>
      <c r="T89" s="2"/>
      <c r="U89" s="2"/>
      <c r="V89" s="2"/>
      <c r="Y89" s="171">
        <f t="shared" si="191"/>
        <v>0</v>
      </c>
      <c r="Z89" s="171">
        <f t="shared" si="192"/>
        <v>0</v>
      </c>
      <c r="AA89" s="35">
        <f t="shared" si="193"/>
        <v>0</v>
      </c>
      <c r="AC89" s="171">
        <f t="shared" si="194"/>
        <v>0</v>
      </c>
      <c r="AD89" s="180">
        <f t="shared" si="195"/>
        <v>0</v>
      </c>
      <c r="AE89" s="163">
        <f t="shared" si="196"/>
        <v>0</v>
      </c>
      <c r="AF89" s="132">
        <f t="shared" si="197"/>
        <v>0</v>
      </c>
      <c r="AG89" s="237" t="str">
        <f t="shared" si="198"/>
        <v/>
      </c>
      <c r="BB89" s="74">
        <f t="shared" si="188"/>
        <v>0</v>
      </c>
      <c r="BC89" s="74">
        <f t="shared" si="189"/>
        <v>0</v>
      </c>
      <c r="BD89" s="32">
        <f t="shared" si="190"/>
        <v>0</v>
      </c>
      <c r="BL89" s="75">
        <f t="shared" si="185"/>
        <v>0</v>
      </c>
      <c r="BM89" s="75">
        <f t="shared" si="186"/>
        <v>0</v>
      </c>
      <c r="BN89" s="76">
        <f t="shared" si="187"/>
        <v>0</v>
      </c>
    </row>
    <row r="90" spans="3:66" ht="16.5" customHeight="1" thickTop="1" thickBot="1" x14ac:dyDescent="0.3">
      <c r="F90" s="249">
        <f t="shared" ca="1" si="203"/>
        <v>2021</v>
      </c>
      <c r="G90" s="249" t="str">
        <f t="shared" ca="1" si="199"/>
        <v xml:space="preserve">jun </v>
      </c>
      <c r="H90" s="3"/>
      <c r="I90" s="73">
        <f t="shared" si="200"/>
        <v>0</v>
      </c>
      <c r="J90" s="246"/>
      <c r="K90" s="2"/>
      <c r="L90" s="73">
        <f t="shared" si="201"/>
        <v>0</v>
      </c>
      <c r="M90" s="246"/>
      <c r="N90" s="2"/>
      <c r="O90" s="73">
        <f t="shared" si="202"/>
        <v>0</v>
      </c>
      <c r="P90" s="246"/>
      <c r="Y90" s="171">
        <f t="shared" si="191"/>
        <v>0</v>
      </c>
      <c r="Z90" s="171">
        <f t="shared" si="192"/>
        <v>0</v>
      </c>
      <c r="AA90" s="35">
        <f t="shared" si="193"/>
        <v>0</v>
      </c>
      <c r="AC90" s="171">
        <f t="shared" si="194"/>
        <v>0</v>
      </c>
      <c r="AD90" s="180">
        <f t="shared" si="195"/>
        <v>0</v>
      </c>
      <c r="AE90" s="163">
        <f t="shared" si="196"/>
        <v>0</v>
      </c>
      <c r="AF90" s="132">
        <f t="shared" si="197"/>
        <v>0</v>
      </c>
      <c r="AG90" s="237" t="str">
        <f t="shared" si="198"/>
        <v/>
      </c>
      <c r="BB90" s="75">
        <f t="shared" si="188"/>
        <v>0</v>
      </c>
      <c r="BC90" s="75">
        <f t="shared" si="189"/>
        <v>0</v>
      </c>
      <c r="BD90" s="76">
        <f t="shared" si="190"/>
        <v>0</v>
      </c>
      <c r="BK90" s="24" t="s">
        <v>1098</v>
      </c>
      <c r="BL90" s="77">
        <f>SUM(BL78:BL89)</f>
        <v>0</v>
      </c>
      <c r="BM90" s="77">
        <f>SUM(BM78:BM89)</f>
        <v>0</v>
      </c>
      <c r="BN90" s="77">
        <f t="shared" si="187"/>
        <v>0</v>
      </c>
    </row>
    <row r="91" spans="3:66" ht="16.5" customHeight="1" thickTop="1" thickBot="1" x14ac:dyDescent="0.3">
      <c r="F91" s="249">
        <f t="shared" ca="1" si="203"/>
        <v>2021</v>
      </c>
      <c r="G91" s="249" t="str">
        <f t="shared" ca="1" si="199"/>
        <v>jul</v>
      </c>
      <c r="H91" s="3"/>
      <c r="I91" s="73">
        <f t="shared" si="200"/>
        <v>0</v>
      </c>
      <c r="J91" s="246"/>
      <c r="K91" s="2"/>
      <c r="L91" s="73">
        <f t="shared" si="201"/>
        <v>0</v>
      </c>
      <c r="M91" s="246"/>
      <c r="N91" s="2"/>
      <c r="O91" s="73">
        <f t="shared" si="202"/>
        <v>0</v>
      </c>
      <c r="P91" s="246"/>
      <c r="Y91" s="171">
        <f t="shared" si="191"/>
        <v>0</v>
      </c>
      <c r="Z91" s="171">
        <f t="shared" si="192"/>
        <v>0</v>
      </c>
      <c r="AA91" s="35">
        <f t="shared" si="193"/>
        <v>0</v>
      </c>
      <c r="AC91" s="171">
        <f t="shared" si="194"/>
        <v>0</v>
      </c>
      <c r="AD91" s="180">
        <f t="shared" si="195"/>
        <v>0</v>
      </c>
      <c r="AE91" s="163">
        <f t="shared" si="196"/>
        <v>0</v>
      </c>
      <c r="AF91" s="132">
        <f t="shared" si="197"/>
        <v>0</v>
      </c>
      <c r="AG91" s="237" t="str">
        <f t="shared" si="198"/>
        <v/>
      </c>
      <c r="BA91" s="24" t="s">
        <v>1098</v>
      </c>
      <c r="BB91" s="77">
        <f>SUM(BB79:BB90)</f>
        <v>0</v>
      </c>
      <c r="BC91" s="77">
        <f>SUM(BC79:BC90)</f>
        <v>0</v>
      </c>
      <c r="BD91" s="77">
        <f t="shared" ref="BD91" si="204">BB91+BC91</f>
        <v>0</v>
      </c>
      <c r="BK91" s="24" t="s">
        <v>1394</v>
      </c>
      <c r="BL91" s="30">
        <f>BL90</f>
        <v>0</v>
      </c>
      <c r="BM91" s="61">
        <f>BM90</f>
        <v>0</v>
      </c>
      <c r="BN91" s="170">
        <f>BL91+BM91</f>
        <v>0</v>
      </c>
    </row>
    <row r="92" spans="3:66" ht="16.5" customHeight="1" thickBot="1" x14ac:dyDescent="0.3">
      <c r="F92" s="249">
        <f t="shared" ca="1" si="203"/>
        <v>2021</v>
      </c>
      <c r="G92" s="249" t="str">
        <f t="shared" ca="1" si="199"/>
        <v>aug</v>
      </c>
      <c r="H92" s="3"/>
      <c r="I92" s="73">
        <f t="shared" si="200"/>
        <v>0</v>
      </c>
      <c r="J92" s="246"/>
      <c r="K92" s="2"/>
      <c r="L92" s="73">
        <f t="shared" si="201"/>
        <v>0</v>
      </c>
      <c r="M92" s="246"/>
      <c r="N92" s="2"/>
      <c r="O92" s="73">
        <f t="shared" si="202"/>
        <v>0</v>
      </c>
      <c r="P92" s="246"/>
      <c r="Y92" s="171">
        <f t="shared" si="191"/>
        <v>0</v>
      </c>
      <c r="Z92" s="171">
        <f t="shared" si="192"/>
        <v>0</v>
      </c>
      <c r="AA92" s="35">
        <f t="shared" si="193"/>
        <v>0</v>
      </c>
      <c r="AC92" s="171">
        <f t="shared" si="194"/>
        <v>0</v>
      </c>
      <c r="AD92" s="180">
        <f t="shared" si="195"/>
        <v>0</v>
      </c>
      <c r="AE92" s="163">
        <f t="shared" si="196"/>
        <v>0</v>
      </c>
      <c r="AF92" s="132">
        <f t="shared" si="197"/>
        <v>0</v>
      </c>
      <c r="AG92" s="237" t="str">
        <f t="shared" si="198"/>
        <v/>
      </c>
      <c r="BA92" s="24" t="s">
        <v>1201</v>
      </c>
      <c r="BB92" s="30">
        <f>BB91</f>
        <v>0</v>
      </c>
      <c r="BC92" s="61">
        <f>BC91-$AB$142</f>
        <v>0</v>
      </c>
      <c r="BD92" s="170">
        <f>BB92+BC92</f>
        <v>0</v>
      </c>
      <c r="BK92" s="24" t="s">
        <v>1293</v>
      </c>
      <c r="BL92" s="30">
        <f>BL91*BL74</f>
        <v>0</v>
      </c>
      <c r="BM92" s="30">
        <f>IF('Indata byggnad och BBR krav'!$C$27="&lt; 10 W/m2 Atemp",BM91*1.875*$BM$74,BM91*$BM$74)</f>
        <v>0</v>
      </c>
      <c r="BN92" s="63">
        <f>BL92+BM92</f>
        <v>0</v>
      </c>
    </row>
    <row r="93" spans="3:66" ht="16.5" customHeight="1" thickBot="1" x14ac:dyDescent="0.3">
      <c r="F93" s="249">
        <f t="shared" ca="1" si="203"/>
        <v>2021</v>
      </c>
      <c r="G93" s="249" t="str">
        <f t="shared" ca="1" si="199"/>
        <v>sept</v>
      </c>
      <c r="H93" s="3"/>
      <c r="I93" s="73">
        <f t="shared" si="200"/>
        <v>0</v>
      </c>
      <c r="J93" s="246"/>
      <c r="K93" s="2"/>
      <c r="L93" s="73">
        <f t="shared" si="201"/>
        <v>0</v>
      </c>
      <c r="M93" s="246"/>
      <c r="N93" s="2"/>
      <c r="O93" s="73">
        <f t="shared" si="202"/>
        <v>0</v>
      </c>
      <c r="P93" s="246"/>
      <c r="Y93" s="172">
        <f t="shared" si="191"/>
        <v>0</v>
      </c>
      <c r="Z93" s="172">
        <f t="shared" si="192"/>
        <v>0</v>
      </c>
      <c r="AA93" s="78">
        <f t="shared" si="193"/>
        <v>0</v>
      </c>
      <c r="AC93" s="172">
        <f t="shared" si="194"/>
        <v>0</v>
      </c>
      <c r="AD93" s="181">
        <f t="shared" si="195"/>
        <v>0</v>
      </c>
      <c r="AE93" s="166">
        <f t="shared" si="196"/>
        <v>0</v>
      </c>
      <c r="AF93" s="133">
        <f t="shared" si="197"/>
        <v>0</v>
      </c>
      <c r="AG93" s="237" t="str">
        <f t="shared" si="198"/>
        <v/>
      </c>
      <c r="BA93" s="24" t="s">
        <v>1293</v>
      </c>
      <c r="BB93" s="30">
        <f>BB92*BB75</f>
        <v>0</v>
      </c>
      <c r="BC93" s="30">
        <f>IF('Indata byggnad och BBR krav'!$C$27="&lt; 10 W/m2 Atemp",BC92*1.875*$BC$75,BC92*$BC$75)</f>
        <v>0</v>
      </c>
      <c r="BD93" s="63">
        <f>BB93+BC93</f>
        <v>0</v>
      </c>
      <c r="BK93" s="24" t="s">
        <v>1294</v>
      </c>
      <c r="BL93" s="30">
        <f>BL91*BL75</f>
        <v>0</v>
      </c>
      <c r="BM93" s="30">
        <f>BM91*BM75</f>
        <v>0</v>
      </c>
      <c r="BN93" s="63">
        <f>BL93+BM93</f>
        <v>0</v>
      </c>
    </row>
    <row r="94" spans="3:66" ht="16.5" customHeight="1" thickTop="1" thickBot="1" x14ac:dyDescent="0.3">
      <c r="F94" s="249">
        <f t="shared" ca="1" si="203"/>
        <v>2021</v>
      </c>
      <c r="G94" s="249" t="str">
        <f t="shared" ca="1" si="199"/>
        <v>okt</v>
      </c>
      <c r="H94" s="3"/>
      <c r="I94" s="73">
        <f t="shared" si="200"/>
        <v>0</v>
      </c>
      <c r="J94" s="246"/>
      <c r="K94" s="2"/>
      <c r="L94" s="73">
        <f t="shared" si="201"/>
        <v>0</v>
      </c>
      <c r="M94" s="246"/>
      <c r="N94" s="2"/>
      <c r="O94" s="73">
        <f t="shared" si="202"/>
        <v>0</v>
      </c>
      <c r="P94" s="246"/>
      <c r="X94" s="110" t="s">
        <v>1295</v>
      </c>
      <c r="Y94" s="79">
        <f>SUM(Y82:Y93)</f>
        <v>0</v>
      </c>
      <c r="Z94" s="79">
        <f>SUM(Z82:Z93)</f>
        <v>0</v>
      </c>
      <c r="AA94" s="79">
        <f t="shared" ref="AA94" si="205">Y94+Z94</f>
        <v>0</v>
      </c>
      <c r="AC94" s="167">
        <f>SUM(AC82:AC93)</f>
        <v>0</v>
      </c>
      <c r="AD94" s="168">
        <f>SUM(AD82:AD93)</f>
        <v>0</v>
      </c>
      <c r="AE94" s="167">
        <f>SUM(AE82:AE93)</f>
        <v>0</v>
      </c>
      <c r="AF94" s="179">
        <f>SUM(AF82:AF93)</f>
        <v>0</v>
      </c>
      <c r="BA94" s="24" t="s">
        <v>1294</v>
      </c>
      <c r="BB94" s="30">
        <f>BB92*BB76</f>
        <v>0</v>
      </c>
      <c r="BC94" s="30">
        <f>BC92*BC76</f>
        <v>0</v>
      </c>
      <c r="BD94" s="63">
        <f>BB94+BC94</f>
        <v>0</v>
      </c>
    </row>
    <row r="95" spans="3:66" ht="16.5" customHeight="1" thickBot="1" x14ac:dyDescent="0.3">
      <c r="F95" s="249">
        <f t="shared" ca="1" si="203"/>
        <v>2021</v>
      </c>
      <c r="G95" s="249" t="str">
        <f t="shared" ca="1" si="199"/>
        <v>nov</v>
      </c>
      <c r="H95" s="3"/>
      <c r="I95" s="73">
        <f t="shared" si="200"/>
        <v>0</v>
      </c>
      <c r="J95" s="246"/>
      <c r="K95" s="2"/>
      <c r="L95" s="73">
        <f t="shared" si="201"/>
        <v>0</v>
      </c>
      <c r="M95" s="246"/>
      <c r="N95" s="2"/>
      <c r="O95" s="73">
        <f t="shared" si="202"/>
        <v>0</v>
      </c>
      <c r="P95" s="246"/>
      <c r="Q95" s="2"/>
      <c r="R95" s="2"/>
      <c r="S95" s="2"/>
      <c r="T95" s="2"/>
      <c r="U95" s="2"/>
      <c r="V95" s="2"/>
      <c r="X95" s="110" t="s">
        <v>1379</v>
      </c>
      <c r="Y95" s="163">
        <f>Y94</f>
        <v>0</v>
      </c>
      <c r="Z95" s="173">
        <f>Z94-$AB$142</f>
        <v>0</v>
      </c>
      <c r="AA95" s="170">
        <f>Y95+Z95</f>
        <v>0</v>
      </c>
      <c r="AB95" s="104"/>
      <c r="AC95" s="131"/>
      <c r="AD95" s="131"/>
      <c r="AE95" s="65"/>
      <c r="AF95" s="65"/>
      <c r="BB95" s="119" t="s">
        <v>1296</v>
      </c>
      <c r="BL95" s="119" t="s">
        <v>1296</v>
      </c>
    </row>
    <row r="96" spans="3:66" ht="16.5" customHeight="1" x14ac:dyDescent="0.25">
      <c r="F96" s="249">
        <f t="shared" ca="1" si="203"/>
        <v>2021</v>
      </c>
      <c r="G96" s="249" t="str">
        <f t="shared" ca="1" si="199"/>
        <v>dec</v>
      </c>
      <c r="H96" s="3"/>
      <c r="I96" s="73">
        <f t="shared" si="200"/>
        <v>0</v>
      </c>
      <c r="J96" s="246"/>
      <c r="K96" s="2"/>
      <c r="L96" s="73">
        <f t="shared" si="201"/>
        <v>0</v>
      </c>
      <c r="M96" s="246"/>
      <c r="N96" s="2"/>
      <c r="O96" s="73">
        <f t="shared" si="202"/>
        <v>0</v>
      </c>
      <c r="P96" s="246"/>
      <c r="Q96" s="2"/>
      <c r="R96" s="2"/>
      <c r="S96" s="2"/>
      <c r="T96" s="2"/>
      <c r="U96" s="2"/>
      <c r="V96" s="2"/>
      <c r="X96" s="110"/>
      <c r="Y96" s="131"/>
      <c r="Z96" s="131"/>
      <c r="AA96" s="131"/>
      <c r="AB96" s="104"/>
      <c r="AC96" s="131"/>
      <c r="AD96" s="131"/>
      <c r="AE96" s="162"/>
    </row>
    <row r="97" spans="2:77" ht="16.5" customHeight="1" thickBot="1" x14ac:dyDescent="0.3">
      <c r="F97" s="3"/>
      <c r="G97" s="3"/>
      <c r="H97" s="3"/>
      <c r="I97" s="51">
        <f>SUM(I85:I96)</f>
        <v>0</v>
      </c>
      <c r="J97" s="51">
        <f>SUM(J85:J96)</f>
        <v>0</v>
      </c>
      <c r="L97" s="51">
        <f>SUM(L85:L96)</f>
        <v>0</v>
      </c>
      <c r="M97" s="51">
        <f>SUM(M85:M96)</f>
        <v>0</v>
      </c>
      <c r="O97" s="51">
        <f>SUM(O85:O96)</f>
        <v>0</v>
      </c>
      <c r="P97" s="51">
        <f>SUM(P85:P96)</f>
        <v>0</v>
      </c>
      <c r="Q97" s="2"/>
      <c r="R97" s="2"/>
      <c r="S97" s="2"/>
      <c r="T97" s="2"/>
      <c r="U97" s="2"/>
      <c r="V97" s="2"/>
      <c r="AC97" s="162"/>
      <c r="AD97" s="162"/>
      <c r="BA97" s="24" t="s">
        <v>1399</v>
      </c>
      <c r="BB97" s="32">
        <f>'Indata byggnad och BBR krav'!$AA$13</f>
        <v>0.06</v>
      </c>
      <c r="BC97" s="32">
        <f>'Indata byggnad och BBR krav'!$AA$8</f>
        <v>2.1999999999999999E-2</v>
      </c>
      <c r="BD97" s="191"/>
      <c r="BK97" s="24" t="s">
        <v>1399</v>
      </c>
      <c r="BL97" s="32">
        <f>'Indata byggnad och BBR krav'!$AA$13</f>
        <v>0.06</v>
      </c>
      <c r="BM97" s="32">
        <f>'Indata byggnad och BBR krav'!$AA$8</f>
        <v>2.1999999999999999E-2</v>
      </c>
      <c r="BN97" s="191"/>
    </row>
    <row r="98" spans="2:77" ht="16.5" customHeight="1" thickBot="1" x14ac:dyDescent="0.3">
      <c r="F98" s="3"/>
      <c r="G98" s="3"/>
      <c r="H98" s="3"/>
      <c r="I98" s="73"/>
      <c r="J98" s="2"/>
      <c r="K98" s="2"/>
      <c r="L98" s="73"/>
      <c r="M98" s="2"/>
      <c r="N98" s="2"/>
      <c r="O98" s="73"/>
      <c r="P98" s="2"/>
      <c r="Q98" s="2"/>
      <c r="R98" s="2"/>
      <c r="S98" s="2"/>
      <c r="T98" s="2"/>
      <c r="U98" s="2"/>
      <c r="V98" s="2"/>
      <c r="X98" s="110"/>
      <c r="Y98" s="110"/>
      <c r="Z98" s="110"/>
      <c r="AA98" s="110"/>
      <c r="AB98" s="110"/>
      <c r="AC98" s="174"/>
      <c r="AD98" s="174"/>
      <c r="AF98" s="174"/>
      <c r="AZ98" s="297"/>
      <c r="BA98" s="298" t="s">
        <v>1408</v>
      </c>
      <c r="BB98" s="280">
        <f>BB92*1000/'Indata byggnad och BBR krav'!$C$40*'Indata byggnad och BBR krav'!$C$38*BB97</f>
        <v>0</v>
      </c>
      <c r="BC98" s="280">
        <f>BC92*1000/'Indata byggnad och BBR krav'!$C$40*'Indata byggnad och BBR krav'!$C$38*BC97</f>
        <v>0</v>
      </c>
      <c r="BD98" s="281">
        <f>BB98+BC98</f>
        <v>0</v>
      </c>
      <c r="BJ98" s="297"/>
      <c r="BK98" s="298" t="s">
        <v>1408</v>
      </c>
      <c r="BL98" s="280">
        <f>BL91*1000/'Indata byggnad och BBR krav'!$C$40*'Indata byggnad och BBR krav'!$C$38*BL97</f>
        <v>0</v>
      </c>
      <c r="BM98" s="280">
        <f>BM91*1000/'Indata byggnad och BBR krav'!$C$40*'Indata byggnad och BBR krav'!$C$38*BM97</f>
        <v>0</v>
      </c>
      <c r="BN98" s="281">
        <f>BL98+BM98</f>
        <v>0</v>
      </c>
    </row>
    <row r="99" spans="2:77" ht="16.5" customHeight="1" thickBot="1" x14ac:dyDescent="0.3">
      <c r="E99" s="20"/>
      <c r="I99" s="17"/>
      <c r="L99" s="17"/>
      <c r="O99" s="17"/>
      <c r="X99" s="110"/>
      <c r="Y99" s="110"/>
      <c r="Z99" s="110"/>
      <c r="AA99" s="110"/>
      <c r="AB99" s="110"/>
      <c r="AD99" s="174"/>
      <c r="AZ99" s="297"/>
      <c r="BA99" s="299" t="s">
        <v>1448</v>
      </c>
      <c r="BB99" s="280">
        <f>BB92*1000/'Indata byggnad och BBR krav'!$C$16*'Indata byggnad och BBR krav'!$C$38*BB97</f>
        <v>0</v>
      </c>
      <c r="BC99" s="280">
        <f>BC92*1000/'Indata byggnad och BBR krav'!$C$16*'Indata byggnad och BBR krav'!$C$38*BC97</f>
        <v>0</v>
      </c>
      <c r="BD99" s="281">
        <f t="shared" ref="BD99:BD100" si="206">BB99+BC99</f>
        <v>0</v>
      </c>
      <c r="BJ99" s="297"/>
      <c r="BK99" s="299" t="s">
        <v>1448</v>
      </c>
      <c r="BL99" s="280">
        <f>BL91*1000/'Indata byggnad och BBR krav'!$C$16*'Indata byggnad och BBR krav'!$C$38*BL97</f>
        <v>0</v>
      </c>
      <c r="BM99" s="280">
        <f>BM91*1000/'Indata byggnad och BBR krav'!$C$16*'Indata byggnad och BBR krav'!$C$38*BM97</f>
        <v>0</v>
      </c>
      <c r="BN99" s="281">
        <f t="shared" ref="BN99:BN100" si="207">BL99+BM99</f>
        <v>0</v>
      </c>
    </row>
    <row r="100" spans="2:77" ht="16.5" customHeight="1" thickBot="1" x14ac:dyDescent="0.3">
      <c r="B100" s="254">
        <v>4</v>
      </c>
      <c r="C100" s="255" t="s">
        <v>1346</v>
      </c>
      <c r="D100" s="256"/>
      <c r="E100" s="257"/>
      <c r="F100" s="256"/>
      <c r="G100" s="256"/>
      <c r="H100" s="256"/>
      <c r="I100" s="256"/>
      <c r="J100" s="256"/>
      <c r="K100" s="256"/>
      <c r="L100" s="256"/>
      <c r="M100" s="257"/>
      <c r="N100" s="257"/>
      <c r="O100" s="257"/>
      <c r="P100" s="257"/>
      <c r="Q100" s="257"/>
      <c r="R100" s="257"/>
      <c r="S100" s="257"/>
      <c r="T100" s="257"/>
      <c r="U100" s="257"/>
      <c r="V100" s="257"/>
      <c r="W100" s="258"/>
      <c r="Y100" s="86" t="s">
        <v>1387</v>
      </c>
      <c r="AD100" s="174"/>
      <c r="AF100" s="86" t="s">
        <v>1276</v>
      </c>
      <c r="AM100" s="87" t="s">
        <v>1386</v>
      </c>
      <c r="AZ100" s="297"/>
      <c r="BA100" s="299" t="s">
        <v>1449</v>
      </c>
      <c r="BB100" s="282">
        <f>BB98/50</f>
        <v>0</v>
      </c>
      <c r="BC100" s="282">
        <f>BC98/50</f>
        <v>0</v>
      </c>
      <c r="BD100" s="283">
        <f t="shared" si="206"/>
        <v>0</v>
      </c>
      <c r="BJ100" s="297"/>
      <c r="BK100" s="299" t="s">
        <v>1449</v>
      </c>
      <c r="BL100" s="282">
        <f>BL98/50</f>
        <v>0</v>
      </c>
      <c r="BM100" s="282">
        <f>BM98/50</f>
        <v>0</v>
      </c>
      <c r="BN100" s="283">
        <f t="shared" si="207"/>
        <v>0</v>
      </c>
    </row>
    <row r="101" spans="2:77" ht="16.5" customHeight="1" x14ac:dyDescent="0.25">
      <c r="Y101" s="84" t="s">
        <v>1275</v>
      </c>
      <c r="AD101" s="122" t="s">
        <v>1080</v>
      </c>
      <c r="AF101" s="84" t="s">
        <v>1187</v>
      </c>
      <c r="AM101" s="85" t="s">
        <v>1388</v>
      </c>
    </row>
    <row r="102" spans="2:77" ht="16.5" customHeight="1" x14ac:dyDescent="0.25">
      <c r="F102" s="350" t="s">
        <v>1138</v>
      </c>
      <c r="G102" s="350"/>
      <c r="I102" s="60" t="s">
        <v>1047</v>
      </c>
      <c r="L102" s="60" t="s">
        <v>1048</v>
      </c>
      <c r="O102" s="60" t="s">
        <v>1049</v>
      </c>
      <c r="X102" s="110" t="s">
        <v>1093</v>
      </c>
      <c r="Y102" s="35" t="str">
        <f>IF($J$104=$Y$103,J103,"")</f>
        <v>El</v>
      </c>
      <c r="Z102" s="35" t="str">
        <f>IF($M$104=$Y$103,M103,"")</f>
        <v/>
      </c>
      <c r="AA102" s="35" t="str">
        <f>IF($P$104=$Y$103,P103,"")</f>
        <v/>
      </c>
      <c r="AB102" s="110"/>
      <c r="AD102" s="104" t="s">
        <v>1300</v>
      </c>
      <c r="AE102" s="110" t="s">
        <v>1093</v>
      </c>
      <c r="AF102" s="35" t="str">
        <f>Y102</f>
        <v>El</v>
      </c>
      <c r="AG102" s="35" t="str">
        <f>Z102</f>
        <v/>
      </c>
      <c r="AH102" s="35" t="str">
        <f>AA102</f>
        <v/>
      </c>
      <c r="AI102" s="110"/>
      <c r="AM102" s="87"/>
      <c r="BB102" s="185" t="s">
        <v>1390</v>
      </c>
      <c r="BL102" s="185" t="s">
        <v>1391</v>
      </c>
    </row>
    <row r="103" spans="2:77" ht="16.5" customHeight="1" x14ac:dyDescent="0.25">
      <c r="C103" s="33" t="s">
        <v>1050</v>
      </c>
      <c r="D103" s="242">
        <v>1</v>
      </c>
      <c r="F103" s="34" t="s">
        <v>9</v>
      </c>
      <c r="G103" s="249">
        <f>$G$14</f>
        <v>2021</v>
      </c>
      <c r="H103" s="3"/>
      <c r="I103" s="33" t="s">
        <v>1209</v>
      </c>
      <c r="J103" s="242" t="s">
        <v>1085</v>
      </c>
      <c r="K103" s="3"/>
      <c r="L103" s="33" t="s">
        <v>1209</v>
      </c>
      <c r="M103" s="242" t="s">
        <v>1085</v>
      </c>
      <c r="N103" s="3"/>
      <c r="O103" s="33" t="s">
        <v>1209</v>
      </c>
      <c r="P103" s="242" t="s">
        <v>1085</v>
      </c>
      <c r="Q103" s="3"/>
      <c r="R103" s="3"/>
      <c r="S103" s="3"/>
      <c r="T103" s="3"/>
      <c r="U103" s="3"/>
      <c r="V103" s="3"/>
      <c r="X103" s="110"/>
      <c r="Y103" s="85" t="s">
        <v>1091</v>
      </c>
      <c r="AD103" s="104" t="s">
        <v>1389</v>
      </c>
      <c r="AE103" s="110"/>
      <c r="AF103" s="85" t="s">
        <v>1091</v>
      </c>
      <c r="AO103" s="80" t="s">
        <v>1080</v>
      </c>
      <c r="BB103" s="21" t="s">
        <v>1158</v>
      </c>
      <c r="BL103" s="21" t="s">
        <v>1158</v>
      </c>
    </row>
    <row r="104" spans="2:77" ht="16.5" customHeight="1" x14ac:dyDescent="0.25">
      <c r="F104" s="34" t="s">
        <v>19</v>
      </c>
      <c r="G104" s="249" t="str">
        <f>$G$15</f>
        <v>jan</v>
      </c>
      <c r="H104" s="3"/>
      <c r="I104" s="33" t="s">
        <v>1139</v>
      </c>
      <c r="J104" s="242" t="s">
        <v>1091</v>
      </c>
      <c r="K104" s="3"/>
      <c r="L104" s="33" t="s">
        <v>1139</v>
      </c>
      <c r="M104" s="242" t="s">
        <v>1080</v>
      </c>
      <c r="N104" s="3"/>
      <c r="O104" s="33" t="s">
        <v>1139</v>
      </c>
      <c r="P104" s="242" t="s">
        <v>1080</v>
      </c>
      <c r="Q104" s="3"/>
      <c r="R104" s="3"/>
      <c r="S104" s="3"/>
      <c r="T104" s="3"/>
      <c r="U104" s="3"/>
      <c r="V104" s="3"/>
      <c r="X104" s="110" t="s">
        <v>1093</v>
      </c>
      <c r="Y104" s="35" t="str">
        <f>Y102</f>
        <v>El</v>
      </c>
      <c r="Z104" s="35" t="str">
        <f>IF($Z$102&lt;&gt;$Y$102,Z102,"")</f>
        <v/>
      </c>
      <c r="AA104" s="35" t="str">
        <f>IF(AND($AA$102&lt;&gt;$Z$102,$AA$102&lt;&gt;$Y$102),AA102,"")</f>
        <v/>
      </c>
      <c r="AB104" s="35" t="s">
        <v>1094</v>
      </c>
      <c r="AD104" s="35" t="s">
        <v>1075</v>
      </c>
      <c r="AE104" s="110" t="s">
        <v>1093</v>
      </c>
      <c r="AF104" s="35" t="str">
        <f>Y104</f>
        <v>El</v>
      </c>
      <c r="AG104" s="35" t="str">
        <f>Z104</f>
        <v/>
      </c>
      <c r="AH104" s="35" t="str">
        <f>AA104</f>
        <v/>
      </c>
      <c r="AI104" s="35" t="s">
        <v>1277</v>
      </c>
      <c r="AJ104" s="35" t="s">
        <v>1094</v>
      </c>
      <c r="AK104" s="84" t="s">
        <v>1368</v>
      </c>
      <c r="AM104" s="35" t="s">
        <v>1179</v>
      </c>
      <c r="AN104" s="35" t="s">
        <v>1108</v>
      </c>
      <c r="AO104" s="35" t="s">
        <v>1075</v>
      </c>
      <c r="BA104" s="24" t="s">
        <v>1093</v>
      </c>
      <c r="BB104" s="32" t="str">
        <f>AF104</f>
        <v>El</v>
      </c>
      <c r="BC104" s="32" t="str">
        <f>AG104</f>
        <v/>
      </c>
      <c r="BD104" s="32" t="str">
        <f>AH104</f>
        <v/>
      </c>
      <c r="BK104" s="24" t="s">
        <v>1093</v>
      </c>
      <c r="BL104" s="32" t="str">
        <f>AF104</f>
        <v>El</v>
      </c>
      <c r="BM104" s="32" t="str">
        <f>AG104</f>
        <v/>
      </c>
      <c r="BN104" s="32" t="str">
        <f>AH104</f>
        <v/>
      </c>
    </row>
    <row r="105" spans="2:77" ht="16.5" customHeight="1" x14ac:dyDescent="0.25">
      <c r="C105" s="34" t="s">
        <v>1262</v>
      </c>
      <c r="D105" s="242" t="s">
        <v>1222</v>
      </c>
      <c r="F105" s="60"/>
      <c r="G105" s="60"/>
      <c r="H105" s="3"/>
      <c r="Y105" s="164">
        <f>IF(AND(J$104=$Y$103, $J$103=$Y$104),I108,0)+IF(AND($M$104=$Y$103, $M$103=$Y$104),L108,0)+IF(AND($P$104=$Y$103, $P$103=$Y$104),O108,0)</f>
        <v>0</v>
      </c>
      <c r="Z105" s="164">
        <f t="shared" ref="Z105:Z116" si="208">IF(AND(J$104=$Y$103, $J$103=$Z$104),I108,0)+IF(AND($M$104=$Y$103, $M$103=$Z$104),L108,0)+IF(AND($P$104=$Y$103, $P$103=$Z$104),O108,0)</f>
        <v>0</v>
      </c>
      <c r="AA105" s="164">
        <f>IF(AND(J$104=$Y$103, $J$103=$AA$104),I108,0)+IF(AND($M$104=$Y$103, $M$103=$AA$104),L108,0)+IF(AND($P$104=$Y$103, $P$103=$AA$104),O108,0)</f>
        <v>0</v>
      </c>
      <c r="AB105" s="164">
        <f>Y105+Z105+AA105</f>
        <v>0</v>
      </c>
      <c r="AD105" s="164">
        <f>IF(AND('Indata byggnad och BBR krav'!$C$17&gt;0,$D$107="Mäts separat"),(IF($J$104=$AD$101,I108,0)+IF($M$104=$AD$101,L108,0)+IF($P$104=$AD$101,O108,0)),0)</f>
        <v>0</v>
      </c>
      <c r="AF105" s="164">
        <f>IF(AND($AF$104="El",$D$107="Ingår i mätdata fastighetsel"),Y105-AO105,Y105)</f>
        <v>0</v>
      </c>
      <c r="AG105" s="164">
        <f t="shared" ref="AG105:AG116" si="209">IF(AND($AG$104="El",$D$107="Ingår i mätdata fastighetsel"),Z105-AO105,Z105)</f>
        <v>0</v>
      </c>
      <c r="AH105" s="164">
        <f t="shared" ref="AH105:AH116" si="210">IF(AND($AH$104="El",$D$107="Ingår i mätdata fastighetsel"),AA105-AO105,AA105)</f>
        <v>0</v>
      </c>
      <c r="AI105" s="163">
        <f>IF($AF$104="El",AF105-AA130,IF($AG$104="El",AG105-AA130,IF($AH$104="El",AH105-AA130)))</f>
        <v>0</v>
      </c>
      <c r="AJ105" s="197">
        <f>IF($AF$104="El",(AI105+AG105+AH105),IF($AG$104="El",(AF105+AH105+AI105),IF($AH$104="El",AF105+AG105+AI105)))</f>
        <v>0</v>
      </c>
      <c r="AK105" s="237" t="str">
        <f>IF((AF105)&lt;0,"Fel i indata","")</f>
        <v/>
      </c>
      <c r="AL105" s="237" t="str">
        <f>IF(AND(AK105="",AI105&lt;0),"Fel i indata","")</f>
        <v/>
      </c>
      <c r="AM105" s="35" t="str">
        <f t="shared" ref="AM105:AM116" ca="1" si="211">G108</f>
        <v>jan</v>
      </c>
      <c r="AN105" s="177">
        <f ca="1">VLOOKUP(AM105,$EW$2:$EY$13,3,FALSE)</f>
        <v>0.12906000000000001</v>
      </c>
      <c r="AO105" s="134">
        <f t="shared" ref="AO105:AO116" si="212">IF($D$105="Finns",IF($D$107="Mäts separat",AD105,($D$110*AN105)),0)</f>
        <v>0</v>
      </c>
      <c r="BA105" s="24" t="s">
        <v>1285</v>
      </c>
      <c r="BB105" s="32">
        <f>IF(OR(BB104="Fjärrvärme",BB104="Biobränsle",BB104="Gas",BB104="Olja"),1,IF(BB104="El",1.6,""))</f>
        <v>1.6</v>
      </c>
      <c r="BC105" s="32" t="str">
        <f>IF(OR(BC104="Fjärrvärme",BC104="Biobränsle",BC104="Gas",BC104="Olja"),1,IF(BC104="El",1.6,""))</f>
        <v/>
      </c>
      <c r="BD105" s="32" t="str">
        <f>IF(OR(BD104="Fjärrvärme",BD104="Biobränsle",BD104="Gas",BD104="Olja"),1,IF(BD104="El",1.6,""))</f>
        <v/>
      </c>
      <c r="BK105" s="24" t="s">
        <v>1285</v>
      </c>
      <c r="BL105" s="32">
        <f>IF(OR(BB104="Fjärrvärme",BB104="Biobränsle",BB104="Gas",BB104="Olja"),1,IF(BB104="El",1.6,""))</f>
        <v>1.6</v>
      </c>
      <c r="BM105" s="32" t="str">
        <f>IF(OR(BM104="Fjärrvärme",BM104="Biobränsle",BM104="Gas",BM104="Olja"),1,IF(BM104="El",1.6,""))</f>
        <v/>
      </c>
      <c r="BN105" s="32" t="str">
        <f>IF(OR(BN104="Fjärrvärme",BN104="Biobränsle",BN104="Gas",BN104="Olja"),1,IF(BN104="El",1.6,""))</f>
        <v/>
      </c>
      <c r="BT105" s="22"/>
      <c r="BU105" s="22"/>
      <c r="BV105" s="22"/>
      <c r="BW105" s="22"/>
      <c r="BX105" s="22"/>
      <c r="BY105" s="22"/>
    </row>
    <row r="106" spans="2:77" ht="16.5" customHeight="1" x14ac:dyDescent="0.25">
      <c r="F106" s="6"/>
      <c r="G106" s="3"/>
      <c r="H106" s="3"/>
      <c r="I106" s="64"/>
      <c r="J106" s="40" t="s">
        <v>1132</v>
      </c>
      <c r="K106" s="40"/>
      <c r="L106" s="64"/>
      <c r="M106" s="40" t="s">
        <v>1132</v>
      </c>
      <c r="N106" s="40"/>
      <c r="O106" s="64"/>
      <c r="P106" s="40" t="s">
        <v>1132</v>
      </c>
      <c r="Q106" s="40"/>
      <c r="R106" s="40"/>
      <c r="S106" s="40"/>
      <c r="T106" s="40"/>
      <c r="U106" s="40"/>
      <c r="V106" s="40"/>
      <c r="Y106" s="164">
        <f t="shared" ref="Y106:Y116" si="213">IF(AND(J$104=$Y$103, $J$103=$Y$104),I109,0)+IF(AND($M$104=$Y$103, $M$103=$Y$104),L109,0)+IF(AND($P$104=$Y$103, $P$103=$Y$104),O109,0)</f>
        <v>0</v>
      </c>
      <c r="Z106" s="164">
        <f t="shared" si="208"/>
        <v>0</v>
      </c>
      <c r="AA106" s="164">
        <f t="shared" ref="AA106:AA116" si="214">IF(AND(J$104=$Y$103, $J$103=$AA$104),I109,0)+IF(AND($M$104=$Y$103, $M$103=$AA$104),L109,0)+IF(AND($P$104=$Y$103, $P$103=$AA$104),O109,0)</f>
        <v>0</v>
      </c>
      <c r="AB106" s="164">
        <f t="shared" ref="AB106:AB116" si="215">Y106+Z106+AA106</f>
        <v>0</v>
      </c>
      <c r="AD106" s="164">
        <f>IF(AND('Indata byggnad och BBR krav'!$C$17&gt;0,$D$107="Mäts separat"),(IF($J$104=$AD$101,I109,0)+IF($M$104=$AD$101,L109,0)+IF($P$104=$AD$101,O109,0)),0)</f>
        <v>0</v>
      </c>
      <c r="AF106" s="164">
        <f t="shared" ref="AF106:AF116" si="216">IF(AND($AF$104="El",$D$107="Ingår i mätdata fastighetsel"),Y106-AO106,Y106)</f>
        <v>0</v>
      </c>
      <c r="AG106" s="164">
        <f t="shared" si="209"/>
        <v>0</v>
      </c>
      <c r="AH106" s="164">
        <f t="shared" si="210"/>
        <v>0</v>
      </c>
      <c r="AI106" s="163">
        <f t="shared" ref="AI106:AI116" si="217">IF($AF$104="El",AF106-AA131,IF($AG$104="El",AG106-AA131,IF($AH$104="El",AH106-AA131)))</f>
        <v>0</v>
      </c>
      <c r="AJ106" s="197">
        <f t="shared" ref="AJ106:AJ116" si="218">IF($AF$104="El",(AI106+AG106+AH106),IF($AG$104="El",(AF106+AH106+AI106),IF($AH$104="El",AF106+AG106+AI106)))</f>
        <v>0</v>
      </c>
      <c r="AK106" s="237" t="str">
        <f t="shared" ref="AK106:AK116" si="219">IF((AF106)&lt;0,"Fel i indata","")</f>
        <v/>
      </c>
      <c r="AL106" s="237" t="str">
        <f t="shared" ref="AL106:AL116" si="220">IF(AND(AK106="",AI106&lt;0),"Fel i indata","")</f>
        <v/>
      </c>
      <c r="AM106" s="35" t="str">
        <f t="shared" ca="1" si="211"/>
        <v>feb</v>
      </c>
      <c r="AN106" s="177">
        <f t="shared" ref="AN106:AN116" ca="1" si="221">VLOOKUP(AM106,$EW$2:$EY$13,3,FALSE)</f>
        <v>0.11473999999999999</v>
      </c>
      <c r="AO106" s="134">
        <f t="shared" si="212"/>
        <v>0</v>
      </c>
      <c r="BA106" s="24" t="s">
        <v>1286</v>
      </c>
      <c r="BB106" s="32">
        <f>IF(OR(BB104="El",BB104="Gas",BB104="Olja"),1.8,IF(BB104="Fjärrvärme",0.7,IF(BB104="Biobränsle",0.6,"")))</f>
        <v>1.8</v>
      </c>
      <c r="BC106" s="32" t="str">
        <f>IF(OR(BC104="El",BC104="Gas",BC104="Olja"),1.8,IF(BC104="Fjärrvärme",0.7,IF(BC104="Biobränsle",0.6,"")))</f>
        <v/>
      </c>
      <c r="BD106" s="32" t="str">
        <f>IF(OR(BD104="El",BD104="Gas",BD104="Olja"),1.8,IF(BD104="Fjärrvärme",0.7,IF(BD104="Biobränsle",0.6,"")))</f>
        <v/>
      </c>
      <c r="BE106" s="25"/>
      <c r="BK106" s="24" t="s">
        <v>1286</v>
      </c>
      <c r="BL106" s="32">
        <f>IF(OR(BB104="El",BB104="Gas",BB104="Olja"),1.8,IF(BB104="Fjärrvärme",0.7,IF(BB104="Biobränsle",0.6,"")))</f>
        <v>1.8</v>
      </c>
      <c r="BM106" s="32" t="str">
        <f>IF(OR(BM104="El",BM104="Gas",BM104="Olja"),1.8,IF(BM104="Fjärrvärme",0.7,IF(BM104="Biobränsle",0.6,"")))</f>
        <v/>
      </c>
      <c r="BN106" s="32" t="str">
        <f>IF(OR(BN104="El",BN104="Gas",BN104="Olja"),1.8,IF(BN104="Fjärrvärme",0.7,IF(BN104="Biobränsle",0.6,"")))</f>
        <v/>
      </c>
      <c r="BO106" s="25"/>
      <c r="BT106" s="27"/>
      <c r="BU106" s="27"/>
      <c r="BV106" s="27"/>
      <c r="BW106" s="27"/>
      <c r="BX106" s="27"/>
      <c r="BY106" s="27"/>
    </row>
    <row r="107" spans="2:77" ht="16.5" customHeight="1" x14ac:dyDescent="0.25">
      <c r="C107" s="34" t="s">
        <v>1263</v>
      </c>
      <c r="D107" s="242" t="s">
        <v>1264</v>
      </c>
      <c r="F107" s="262" t="s">
        <v>1044</v>
      </c>
      <c r="G107" s="262" t="s">
        <v>1045</v>
      </c>
      <c r="H107" s="3"/>
      <c r="I107" s="23" t="s">
        <v>1075</v>
      </c>
      <c r="J107" s="262" t="s">
        <v>1075</v>
      </c>
      <c r="K107" s="3"/>
      <c r="L107" s="23" t="s">
        <v>1075</v>
      </c>
      <c r="M107" s="262" t="s">
        <v>1075</v>
      </c>
      <c r="N107" s="3"/>
      <c r="O107" s="23" t="s">
        <v>1075</v>
      </c>
      <c r="P107" s="262" t="s">
        <v>1075</v>
      </c>
      <c r="Q107" s="3"/>
      <c r="R107" s="3"/>
      <c r="S107" s="3"/>
      <c r="T107" s="3"/>
      <c r="U107" s="3"/>
      <c r="V107" s="3"/>
      <c r="Y107" s="164">
        <f t="shared" si="213"/>
        <v>0</v>
      </c>
      <c r="Z107" s="164">
        <f t="shared" si="208"/>
        <v>0</v>
      </c>
      <c r="AA107" s="164">
        <f t="shared" si="214"/>
        <v>0</v>
      </c>
      <c r="AB107" s="164">
        <f t="shared" si="215"/>
        <v>0</v>
      </c>
      <c r="AD107" s="164">
        <f>IF(AND('Indata byggnad och BBR krav'!$C$17&gt;0,$D$107="Mäts separat"),(IF($J$104=$AD$101,I110,0)+IF($M$104=$AD$101,L110,0)+IF($P$104=$AD$101,O110,0)),0)</f>
        <v>0</v>
      </c>
      <c r="AF107" s="164">
        <f t="shared" si="216"/>
        <v>0</v>
      </c>
      <c r="AG107" s="164">
        <f t="shared" si="209"/>
        <v>0</v>
      </c>
      <c r="AH107" s="164">
        <f t="shared" si="210"/>
        <v>0</v>
      </c>
      <c r="AI107" s="163">
        <f t="shared" si="217"/>
        <v>0</v>
      </c>
      <c r="AJ107" s="197">
        <f t="shared" si="218"/>
        <v>0</v>
      </c>
      <c r="AK107" s="237" t="str">
        <f t="shared" si="219"/>
        <v/>
      </c>
      <c r="AL107" s="237" t="str">
        <f t="shared" si="220"/>
        <v/>
      </c>
      <c r="AM107" s="35" t="str">
        <f t="shared" ca="1" si="211"/>
        <v>mars</v>
      </c>
      <c r="AN107" s="177">
        <f t="shared" ca="1" si="221"/>
        <v>0.11559</v>
      </c>
      <c r="AO107" s="134">
        <f t="shared" si="212"/>
        <v>0</v>
      </c>
      <c r="BB107" s="25" t="s">
        <v>1091</v>
      </c>
      <c r="BL107" s="25" t="s">
        <v>1091</v>
      </c>
      <c r="BT107" s="27"/>
      <c r="BU107" s="27"/>
      <c r="BV107" s="27"/>
      <c r="BW107" s="27"/>
      <c r="BX107" s="27"/>
      <c r="BY107" s="27"/>
    </row>
    <row r="108" spans="2:77" ht="16.5" customHeight="1" x14ac:dyDescent="0.25">
      <c r="E108" s="20"/>
      <c r="F108" s="249">
        <f>G103</f>
        <v>2021</v>
      </c>
      <c r="G108" s="249" t="str">
        <f t="shared" ref="G108:G119" ca="1" si="222">OFFSET($EI$2,$EI$43+ROW(F108)-ROW($F$108),0)</f>
        <v>jan</v>
      </c>
      <c r="H108" s="3"/>
      <c r="I108" s="41">
        <f t="shared" ref="I108:I119" si="223">IF($D$103&gt;0,J108,0)</f>
        <v>0</v>
      </c>
      <c r="J108" s="259"/>
      <c r="K108" s="2"/>
      <c r="L108" s="73">
        <f t="shared" ref="L108:L119" si="224">IF($D$103&gt;1,M108,0)</f>
        <v>0</v>
      </c>
      <c r="M108" s="259"/>
      <c r="N108" s="2"/>
      <c r="O108" s="73">
        <f t="shared" ref="O108:O119" si="225">IF($D$103&gt;2,P108,0)</f>
        <v>0</v>
      </c>
      <c r="P108" s="259"/>
      <c r="Q108" s="2"/>
      <c r="R108" s="2"/>
      <c r="S108" s="2"/>
      <c r="T108" s="2"/>
      <c r="U108" s="2"/>
      <c r="V108" s="2"/>
      <c r="Y108" s="164">
        <f t="shared" si="213"/>
        <v>0</v>
      </c>
      <c r="Z108" s="164">
        <f t="shared" si="208"/>
        <v>0</v>
      </c>
      <c r="AA108" s="164">
        <f t="shared" si="214"/>
        <v>0</v>
      </c>
      <c r="AB108" s="164">
        <f t="shared" si="215"/>
        <v>0</v>
      </c>
      <c r="AD108" s="164">
        <f>IF(AND('Indata byggnad och BBR krav'!$C$17&gt;0,$D$107="Mäts separat"),(IF($J$104=$AD$101,I111,0)+IF($M$104=$AD$101,L111,0)+IF($P$104=$AD$101,O111,0)),0)</f>
        <v>0</v>
      </c>
      <c r="AF108" s="164">
        <f t="shared" si="216"/>
        <v>0</v>
      </c>
      <c r="AG108" s="164">
        <f t="shared" si="209"/>
        <v>0</v>
      </c>
      <c r="AH108" s="164">
        <f t="shared" si="210"/>
        <v>0</v>
      </c>
      <c r="AI108" s="163">
        <f t="shared" si="217"/>
        <v>0</v>
      </c>
      <c r="AJ108" s="197">
        <f t="shared" si="218"/>
        <v>0</v>
      </c>
      <c r="AK108" s="237" t="str">
        <f t="shared" si="219"/>
        <v/>
      </c>
      <c r="AL108" s="237" t="str">
        <f t="shared" si="220"/>
        <v/>
      </c>
      <c r="AM108" s="35" t="str">
        <f t="shared" ca="1" si="211"/>
        <v>apr</v>
      </c>
      <c r="AN108" s="177">
        <f t="shared" ca="1" si="221"/>
        <v>9.8080000000000001E-2</v>
      </c>
      <c r="AO108" s="134">
        <f t="shared" si="212"/>
        <v>0</v>
      </c>
      <c r="BB108" s="32" t="str">
        <f>BB104</f>
        <v>El</v>
      </c>
      <c r="BC108" s="32" t="str">
        <f>BC104</f>
        <v/>
      </c>
      <c r="BD108" s="32" t="str">
        <f>BD104</f>
        <v/>
      </c>
      <c r="BE108" s="32" t="s">
        <v>1094</v>
      </c>
      <c r="BL108" s="32" t="str">
        <f>BL104</f>
        <v>El</v>
      </c>
      <c r="BM108" s="32" t="str">
        <f t="shared" ref="BM108:BN108" si="226">BM104</f>
        <v/>
      </c>
      <c r="BN108" s="32" t="str">
        <f t="shared" si="226"/>
        <v/>
      </c>
      <c r="BO108" s="32" t="s">
        <v>1094</v>
      </c>
      <c r="BT108" s="27"/>
      <c r="BU108" s="27"/>
      <c r="BV108" s="27"/>
      <c r="BW108" s="27"/>
      <c r="BX108" s="27"/>
      <c r="BY108" s="27"/>
    </row>
    <row r="109" spans="2:77" ht="16.5" customHeight="1" x14ac:dyDescent="0.25">
      <c r="C109" s="33" t="s">
        <v>1265</v>
      </c>
      <c r="D109" s="242"/>
      <c r="F109" s="249">
        <f ca="1">IF(G109="jan",F108+1,F108)</f>
        <v>2021</v>
      </c>
      <c r="G109" s="249" t="str">
        <f t="shared" ca="1" si="222"/>
        <v>feb</v>
      </c>
      <c r="H109" s="3"/>
      <c r="I109" s="41">
        <f t="shared" si="223"/>
        <v>0</v>
      </c>
      <c r="J109" s="259"/>
      <c r="K109" s="2"/>
      <c r="L109" s="73">
        <f t="shared" si="224"/>
        <v>0</v>
      </c>
      <c r="M109" s="259"/>
      <c r="N109" s="2"/>
      <c r="O109" s="73">
        <f t="shared" si="225"/>
        <v>0</v>
      </c>
      <c r="P109" s="259"/>
      <c r="Q109" s="2"/>
      <c r="R109" s="2"/>
      <c r="S109" s="2"/>
      <c r="T109" s="2"/>
      <c r="U109" s="2"/>
      <c r="V109" s="2"/>
      <c r="Y109" s="164">
        <f t="shared" si="213"/>
        <v>0</v>
      </c>
      <c r="Z109" s="164">
        <f t="shared" si="208"/>
        <v>0</v>
      </c>
      <c r="AA109" s="164">
        <f t="shared" si="214"/>
        <v>0</v>
      </c>
      <c r="AB109" s="164">
        <f t="shared" si="215"/>
        <v>0</v>
      </c>
      <c r="AD109" s="164">
        <f>IF(AND('Indata byggnad och BBR krav'!$C$17&gt;0,$D$107="Mäts separat"),(IF($J$104=$AD$101,I112,0)+IF($M$104=$AD$101,L112,0)+IF($P$104=$AD$101,O112,0)),0)</f>
        <v>0</v>
      </c>
      <c r="AF109" s="164">
        <f t="shared" si="216"/>
        <v>0</v>
      </c>
      <c r="AG109" s="164">
        <f t="shared" si="209"/>
        <v>0</v>
      </c>
      <c r="AH109" s="164">
        <f t="shared" si="210"/>
        <v>0</v>
      </c>
      <c r="AI109" s="163">
        <f t="shared" si="217"/>
        <v>0</v>
      </c>
      <c r="AJ109" s="197">
        <f t="shared" si="218"/>
        <v>0</v>
      </c>
      <c r="AK109" s="237" t="str">
        <f t="shared" si="219"/>
        <v/>
      </c>
      <c r="AL109" s="237" t="str">
        <f t="shared" si="220"/>
        <v/>
      </c>
      <c r="AM109" s="35" t="str">
        <f t="shared" ca="1" si="211"/>
        <v>maj</v>
      </c>
      <c r="AN109" s="177">
        <f t="shared" ca="1" si="221"/>
        <v>6.8420000000000009E-2</v>
      </c>
      <c r="AO109" s="134">
        <f t="shared" si="212"/>
        <v>0</v>
      </c>
      <c r="BB109" s="30">
        <f t="shared" ref="BB109:BB120" si="227">AF105</f>
        <v>0</v>
      </c>
      <c r="BC109" s="30">
        <f t="shared" ref="BC109:BC120" si="228">AG105</f>
        <v>0</v>
      </c>
      <c r="BD109" s="30">
        <f t="shared" ref="BD109:BD120" si="229">AH105</f>
        <v>0</v>
      </c>
      <c r="BE109" s="30">
        <f>BB109+BC109+BD109</f>
        <v>0</v>
      </c>
      <c r="BL109" s="30">
        <f t="shared" ref="BL109:BL120" si="230">AF105</f>
        <v>0</v>
      </c>
      <c r="BM109" s="30">
        <f t="shared" ref="BM109:BM120" si="231">AG105</f>
        <v>0</v>
      </c>
      <c r="BN109" s="30">
        <f t="shared" ref="BN109:BN120" si="232">AH105</f>
        <v>0</v>
      </c>
      <c r="BO109" s="30">
        <f>BL109+BM109+BN109</f>
        <v>0</v>
      </c>
      <c r="BT109" s="27"/>
      <c r="BU109" s="27"/>
      <c r="BV109" s="27"/>
      <c r="BW109" s="27"/>
      <c r="BX109" s="27"/>
      <c r="BY109" s="27"/>
    </row>
    <row r="110" spans="2:77" ht="16.5" customHeight="1" x14ac:dyDescent="0.25">
      <c r="C110" s="33" t="s">
        <v>1274</v>
      </c>
      <c r="D110" s="263">
        <f>D109*1000/'Indata byggnad och BBR krav'!$C$16*'Indata byggnad och BBR krav'!$C$17/100</f>
        <v>0</v>
      </c>
      <c r="F110" s="249">
        <f t="shared" ref="F110:F119" ca="1" si="233">IF(G110="jan",F109+1,F109)</f>
        <v>2021</v>
      </c>
      <c r="G110" s="249" t="str">
        <f t="shared" ca="1" si="222"/>
        <v>mars</v>
      </c>
      <c r="H110" s="3"/>
      <c r="I110" s="41">
        <f t="shared" si="223"/>
        <v>0</v>
      </c>
      <c r="J110" s="259"/>
      <c r="K110" s="2"/>
      <c r="L110" s="73">
        <f t="shared" si="224"/>
        <v>0</v>
      </c>
      <c r="M110" s="259"/>
      <c r="N110" s="2"/>
      <c r="O110" s="73">
        <f t="shared" si="225"/>
        <v>0</v>
      </c>
      <c r="P110" s="259"/>
      <c r="Q110" s="2"/>
      <c r="R110" s="2"/>
      <c r="S110" s="2"/>
      <c r="T110" s="2"/>
      <c r="U110" s="2"/>
      <c r="V110" s="2"/>
      <c r="Y110" s="164">
        <f t="shared" si="213"/>
        <v>0</v>
      </c>
      <c r="Z110" s="164">
        <f t="shared" si="208"/>
        <v>0</v>
      </c>
      <c r="AA110" s="164">
        <f t="shared" si="214"/>
        <v>0</v>
      </c>
      <c r="AB110" s="164">
        <f t="shared" si="215"/>
        <v>0</v>
      </c>
      <c r="AD110" s="164">
        <f>IF(AND('Indata byggnad och BBR krav'!$C$17&gt;0,$D$107="Mäts separat"),(IF($J$104=$AD$101,I113,0)+IF($M$104=$AD$101,L113,0)+IF($P$104=$AD$101,O113,0)),0)</f>
        <v>0</v>
      </c>
      <c r="AF110" s="164">
        <f t="shared" si="216"/>
        <v>0</v>
      </c>
      <c r="AG110" s="164">
        <f t="shared" si="209"/>
        <v>0</v>
      </c>
      <c r="AH110" s="164">
        <f t="shared" si="210"/>
        <v>0</v>
      </c>
      <c r="AI110" s="163">
        <f t="shared" si="217"/>
        <v>0</v>
      </c>
      <c r="AJ110" s="197">
        <f t="shared" si="218"/>
        <v>0</v>
      </c>
      <c r="AK110" s="237" t="str">
        <f t="shared" si="219"/>
        <v/>
      </c>
      <c r="AL110" s="237" t="str">
        <f t="shared" si="220"/>
        <v/>
      </c>
      <c r="AM110" s="35" t="str">
        <f t="shared" ca="1" si="211"/>
        <v xml:space="preserve">jun </v>
      </c>
      <c r="AN110" s="177">
        <f t="shared" ca="1" si="221"/>
        <v>4.113E-2</v>
      </c>
      <c r="AO110" s="134">
        <f t="shared" si="212"/>
        <v>0</v>
      </c>
      <c r="BB110" s="52">
        <f t="shared" si="227"/>
        <v>0</v>
      </c>
      <c r="BC110" s="52">
        <f t="shared" si="228"/>
        <v>0</v>
      </c>
      <c r="BD110" s="52">
        <f t="shared" si="229"/>
        <v>0</v>
      </c>
      <c r="BE110" s="30">
        <f t="shared" ref="BE110:BE120" si="234">BB110+BC110+BD110</f>
        <v>0</v>
      </c>
      <c r="BL110" s="30">
        <f t="shared" si="230"/>
        <v>0</v>
      </c>
      <c r="BM110" s="30">
        <f t="shared" si="231"/>
        <v>0</v>
      </c>
      <c r="BN110" s="30">
        <f t="shared" si="232"/>
        <v>0</v>
      </c>
      <c r="BO110" s="30">
        <f t="shared" ref="BO110:BO120" si="235">BL110+BM110+BN110</f>
        <v>0</v>
      </c>
      <c r="BT110" s="27"/>
      <c r="BU110" s="27"/>
      <c r="BV110" s="27"/>
      <c r="BW110" s="27"/>
      <c r="BX110" s="27"/>
      <c r="BY110" s="27"/>
    </row>
    <row r="111" spans="2:77" ht="16.5" customHeight="1" x14ac:dyDescent="0.25">
      <c r="C111" s="152" t="s">
        <v>1354</v>
      </c>
      <c r="F111" s="249">
        <f t="shared" ca="1" si="233"/>
        <v>2021</v>
      </c>
      <c r="G111" s="249" t="str">
        <f t="shared" ca="1" si="222"/>
        <v>apr</v>
      </c>
      <c r="H111" s="3"/>
      <c r="I111" s="41">
        <f t="shared" si="223"/>
        <v>0</v>
      </c>
      <c r="J111" s="259"/>
      <c r="K111" s="2"/>
      <c r="L111" s="73">
        <f t="shared" si="224"/>
        <v>0</v>
      </c>
      <c r="M111" s="259"/>
      <c r="N111" s="2"/>
      <c r="O111" s="73">
        <f t="shared" si="225"/>
        <v>0</v>
      </c>
      <c r="P111" s="259"/>
      <c r="Q111" s="2"/>
      <c r="R111" s="2"/>
      <c r="S111" s="2"/>
      <c r="T111" s="2"/>
      <c r="U111" s="2"/>
      <c r="V111" s="2"/>
      <c r="Y111" s="164">
        <f t="shared" si="213"/>
        <v>0</v>
      </c>
      <c r="Z111" s="164">
        <f t="shared" si="208"/>
        <v>0</v>
      </c>
      <c r="AA111" s="164">
        <f t="shared" si="214"/>
        <v>0</v>
      </c>
      <c r="AB111" s="164">
        <f t="shared" si="215"/>
        <v>0</v>
      </c>
      <c r="AD111" s="164">
        <f>IF(AND('Indata byggnad och BBR krav'!$C$17&gt;0,$D$107="Mäts separat"),(IF($J$104=$AD$101,I114,0)+IF($M$104=$AD$101,L114,0)+IF($P$104=$AD$101,O114,0)),0)</f>
        <v>0</v>
      </c>
      <c r="AF111" s="164">
        <f t="shared" si="216"/>
        <v>0</v>
      </c>
      <c r="AG111" s="164">
        <f t="shared" si="209"/>
        <v>0</v>
      </c>
      <c r="AH111" s="164">
        <f t="shared" si="210"/>
        <v>0</v>
      </c>
      <c r="AI111" s="163">
        <f t="shared" si="217"/>
        <v>0</v>
      </c>
      <c r="AJ111" s="197">
        <f t="shared" si="218"/>
        <v>0</v>
      </c>
      <c r="AK111" s="237" t="str">
        <f t="shared" si="219"/>
        <v/>
      </c>
      <c r="AL111" s="237" t="str">
        <f t="shared" si="220"/>
        <v/>
      </c>
      <c r="AM111" s="35" t="str">
        <f t="shared" ca="1" si="211"/>
        <v>jul</v>
      </c>
      <c r="AN111" s="177">
        <f t="shared" ca="1" si="221"/>
        <v>3.0960000000000001E-2</v>
      </c>
      <c r="AO111" s="134">
        <f t="shared" si="212"/>
        <v>0</v>
      </c>
      <c r="BB111" s="52">
        <f t="shared" si="227"/>
        <v>0</v>
      </c>
      <c r="BC111" s="52">
        <f t="shared" si="228"/>
        <v>0</v>
      </c>
      <c r="BD111" s="52">
        <f t="shared" si="229"/>
        <v>0</v>
      </c>
      <c r="BE111" s="30">
        <f t="shared" si="234"/>
        <v>0</v>
      </c>
      <c r="BL111" s="30">
        <f t="shared" si="230"/>
        <v>0</v>
      </c>
      <c r="BM111" s="30">
        <f t="shared" si="231"/>
        <v>0</v>
      </c>
      <c r="BN111" s="30">
        <f t="shared" si="232"/>
        <v>0</v>
      </c>
      <c r="BO111" s="30">
        <f t="shared" si="235"/>
        <v>0</v>
      </c>
      <c r="BT111" s="27"/>
      <c r="BU111" s="27"/>
      <c r="BV111" s="27"/>
      <c r="BW111" s="27"/>
      <c r="BX111" s="27"/>
      <c r="BY111" s="27"/>
    </row>
    <row r="112" spans="2:77" ht="16.5" customHeight="1" x14ac:dyDescent="0.25">
      <c r="C112" s="357"/>
      <c r="D112" s="358"/>
      <c r="F112" s="249">
        <f t="shared" ca="1" si="233"/>
        <v>2021</v>
      </c>
      <c r="G112" s="249" t="str">
        <f t="shared" ca="1" si="222"/>
        <v>maj</v>
      </c>
      <c r="H112" s="3"/>
      <c r="I112" s="41">
        <f t="shared" si="223"/>
        <v>0</v>
      </c>
      <c r="J112" s="259"/>
      <c r="K112" s="2"/>
      <c r="L112" s="73">
        <f t="shared" si="224"/>
        <v>0</v>
      </c>
      <c r="M112" s="259"/>
      <c r="N112" s="2"/>
      <c r="O112" s="73">
        <f t="shared" si="225"/>
        <v>0</v>
      </c>
      <c r="P112" s="259"/>
      <c r="Q112" s="2"/>
      <c r="R112" s="2"/>
      <c r="S112" s="2"/>
      <c r="T112" s="2"/>
      <c r="U112" s="2"/>
      <c r="V112" s="2"/>
      <c r="Y112" s="164">
        <f t="shared" si="213"/>
        <v>0</v>
      </c>
      <c r="Z112" s="164">
        <f t="shared" si="208"/>
        <v>0</v>
      </c>
      <c r="AA112" s="164">
        <f t="shared" si="214"/>
        <v>0</v>
      </c>
      <c r="AB112" s="164">
        <f t="shared" si="215"/>
        <v>0</v>
      </c>
      <c r="AD112" s="164">
        <f>IF(AND('Indata byggnad och BBR krav'!$C$17&gt;0,$D$107="Mäts separat"),(IF($J$104=$AD$101,I115,0)+IF($M$104=$AD$101,L115,0)+IF($P$104=$AD$101,O115,0)),0)</f>
        <v>0</v>
      </c>
      <c r="AF112" s="164">
        <f t="shared" si="216"/>
        <v>0</v>
      </c>
      <c r="AG112" s="164">
        <f t="shared" si="209"/>
        <v>0</v>
      </c>
      <c r="AH112" s="164">
        <f t="shared" si="210"/>
        <v>0</v>
      </c>
      <c r="AI112" s="163">
        <f t="shared" si="217"/>
        <v>0</v>
      </c>
      <c r="AJ112" s="197">
        <f t="shared" si="218"/>
        <v>0</v>
      </c>
      <c r="AK112" s="237" t="str">
        <f t="shared" si="219"/>
        <v/>
      </c>
      <c r="AL112" s="237" t="str">
        <f t="shared" si="220"/>
        <v/>
      </c>
      <c r="AM112" s="35" t="str">
        <f t="shared" ca="1" si="211"/>
        <v>aug</v>
      </c>
      <c r="AN112" s="177">
        <f t="shared" ca="1" si="221"/>
        <v>3.347E-2</v>
      </c>
      <c r="AO112" s="134">
        <f t="shared" si="212"/>
        <v>0</v>
      </c>
      <c r="BB112" s="52">
        <f t="shared" si="227"/>
        <v>0</v>
      </c>
      <c r="BC112" s="52">
        <f t="shared" si="228"/>
        <v>0</v>
      </c>
      <c r="BD112" s="52">
        <f t="shared" si="229"/>
        <v>0</v>
      </c>
      <c r="BE112" s="30">
        <f t="shared" si="234"/>
        <v>0</v>
      </c>
      <c r="BL112" s="30">
        <f t="shared" si="230"/>
        <v>0</v>
      </c>
      <c r="BM112" s="30">
        <f t="shared" si="231"/>
        <v>0</v>
      </c>
      <c r="BN112" s="30">
        <f t="shared" si="232"/>
        <v>0</v>
      </c>
      <c r="BO112" s="30">
        <f t="shared" si="235"/>
        <v>0</v>
      </c>
      <c r="BT112" s="27"/>
      <c r="BU112" s="27"/>
      <c r="BV112" s="27"/>
      <c r="BW112" s="27"/>
      <c r="BX112" s="27"/>
      <c r="BY112" s="27"/>
    </row>
    <row r="113" spans="2:77" ht="16.5" customHeight="1" x14ac:dyDescent="0.25">
      <c r="C113" s="359"/>
      <c r="D113" s="360"/>
      <c r="F113" s="249">
        <f t="shared" ca="1" si="233"/>
        <v>2021</v>
      </c>
      <c r="G113" s="249" t="str">
        <f t="shared" ca="1" si="222"/>
        <v xml:space="preserve">jun </v>
      </c>
      <c r="H113" s="3"/>
      <c r="I113" s="41">
        <f t="shared" si="223"/>
        <v>0</v>
      </c>
      <c r="J113" s="259"/>
      <c r="K113" s="2"/>
      <c r="L113" s="73">
        <f t="shared" si="224"/>
        <v>0</v>
      </c>
      <c r="M113" s="259"/>
      <c r="N113" s="2"/>
      <c r="O113" s="73">
        <f t="shared" si="225"/>
        <v>0</v>
      </c>
      <c r="P113" s="259"/>
      <c r="Q113" s="2"/>
      <c r="R113" s="2"/>
      <c r="S113" s="2"/>
      <c r="T113" s="2"/>
      <c r="U113" s="2"/>
      <c r="V113" s="2"/>
      <c r="Y113" s="164">
        <f t="shared" si="213"/>
        <v>0</v>
      </c>
      <c r="Z113" s="164">
        <f t="shared" si="208"/>
        <v>0</v>
      </c>
      <c r="AA113" s="164">
        <f t="shared" si="214"/>
        <v>0</v>
      </c>
      <c r="AB113" s="164">
        <f t="shared" si="215"/>
        <v>0</v>
      </c>
      <c r="AD113" s="164">
        <f>IF(AND('Indata byggnad och BBR krav'!$C$17&gt;0,$D$107="Mäts separat"),(IF($J$104=$AD$101,I116,0)+IF($M$104=$AD$101,L116,0)+IF($P$104=$AD$101,O116,0)),0)</f>
        <v>0</v>
      </c>
      <c r="AF113" s="164">
        <f t="shared" si="216"/>
        <v>0</v>
      </c>
      <c r="AG113" s="164">
        <f t="shared" si="209"/>
        <v>0</v>
      </c>
      <c r="AH113" s="164">
        <f t="shared" si="210"/>
        <v>0</v>
      </c>
      <c r="AI113" s="163">
        <f t="shared" si="217"/>
        <v>0</v>
      </c>
      <c r="AJ113" s="197">
        <f t="shared" si="218"/>
        <v>0</v>
      </c>
      <c r="AK113" s="237" t="str">
        <f t="shared" si="219"/>
        <v/>
      </c>
      <c r="AL113" s="237" t="str">
        <f t="shared" si="220"/>
        <v/>
      </c>
      <c r="AM113" s="35" t="str">
        <f t="shared" ca="1" si="211"/>
        <v>sept</v>
      </c>
      <c r="AN113" s="177">
        <f t="shared" ca="1" si="221"/>
        <v>5.4630000000000005E-2</v>
      </c>
      <c r="AO113" s="134">
        <f t="shared" si="212"/>
        <v>0</v>
      </c>
      <c r="BB113" s="52">
        <f t="shared" si="227"/>
        <v>0</v>
      </c>
      <c r="BC113" s="52">
        <f t="shared" si="228"/>
        <v>0</v>
      </c>
      <c r="BD113" s="52">
        <f t="shared" si="229"/>
        <v>0</v>
      </c>
      <c r="BE113" s="30">
        <f t="shared" si="234"/>
        <v>0</v>
      </c>
      <c r="BL113" s="30">
        <f t="shared" si="230"/>
        <v>0</v>
      </c>
      <c r="BM113" s="30">
        <f t="shared" si="231"/>
        <v>0</v>
      </c>
      <c r="BN113" s="30">
        <f t="shared" si="232"/>
        <v>0</v>
      </c>
      <c r="BO113" s="30">
        <f t="shared" si="235"/>
        <v>0</v>
      </c>
      <c r="BT113" s="27"/>
      <c r="BU113" s="27"/>
      <c r="BV113" s="27"/>
      <c r="BW113" s="27"/>
      <c r="BX113" s="27"/>
      <c r="BY113" s="27"/>
    </row>
    <row r="114" spans="2:77" ht="16.5" customHeight="1" x14ac:dyDescent="0.25">
      <c r="C114" s="361"/>
      <c r="D114" s="362"/>
      <c r="F114" s="249">
        <f t="shared" ca="1" si="233"/>
        <v>2021</v>
      </c>
      <c r="G114" s="249" t="str">
        <f t="shared" ca="1" si="222"/>
        <v>jul</v>
      </c>
      <c r="H114" s="3"/>
      <c r="I114" s="41">
        <f t="shared" si="223"/>
        <v>0</v>
      </c>
      <c r="J114" s="259"/>
      <c r="K114" s="2"/>
      <c r="L114" s="73">
        <f t="shared" si="224"/>
        <v>0</v>
      </c>
      <c r="M114" s="259"/>
      <c r="N114" s="2"/>
      <c r="O114" s="73">
        <f t="shared" si="225"/>
        <v>0</v>
      </c>
      <c r="P114" s="259"/>
      <c r="Q114" s="2"/>
      <c r="R114" s="2"/>
      <c r="S114" s="2"/>
      <c r="T114" s="2"/>
      <c r="U114" s="2"/>
      <c r="V114" s="2"/>
      <c r="Y114" s="164">
        <f t="shared" si="213"/>
        <v>0</v>
      </c>
      <c r="Z114" s="164">
        <f t="shared" si="208"/>
        <v>0</v>
      </c>
      <c r="AA114" s="164">
        <f t="shared" si="214"/>
        <v>0</v>
      </c>
      <c r="AB114" s="164">
        <f t="shared" si="215"/>
        <v>0</v>
      </c>
      <c r="AD114" s="164">
        <f>IF(AND('Indata byggnad och BBR krav'!$C$17&gt;0,$D$107="Mäts separat"),(IF($J$104=$AD$101,I117,0)+IF($M$104=$AD$101,L117,0)+IF($P$104=$AD$101,O117,0)),0)</f>
        <v>0</v>
      </c>
      <c r="AF114" s="164">
        <f t="shared" si="216"/>
        <v>0</v>
      </c>
      <c r="AG114" s="164">
        <f t="shared" si="209"/>
        <v>0</v>
      </c>
      <c r="AH114" s="164">
        <f t="shared" si="210"/>
        <v>0</v>
      </c>
      <c r="AI114" s="163">
        <f t="shared" si="217"/>
        <v>0</v>
      </c>
      <c r="AJ114" s="197">
        <f t="shared" si="218"/>
        <v>0</v>
      </c>
      <c r="AK114" s="237" t="str">
        <f t="shared" si="219"/>
        <v/>
      </c>
      <c r="AL114" s="237" t="str">
        <f t="shared" si="220"/>
        <v/>
      </c>
      <c r="AM114" s="35" t="str">
        <f t="shared" ca="1" si="211"/>
        <v>okt</v>
      </c>
      <c r="AN114" s="177">
        <f t="shared" ca="1" si="221"/>
        <v>9.0889999999999999E-2</v>
      </c>
      <c r="AO114" s="134">
        <f t="shared" si="212"/>
        <v>0</v>
      </c>
      <c r="BB114" s="52">
        <f t="shared" si="227"/>
        <v>0</v>
      </c>
      <c r="BC114" s="52">
        <f t="shared" si="228"/>
        <v>0</v>
      </c>
      <c r="BD114" s="52">
        <f t="shared" si="229"/>
        <v>0</v>
      </c>
      <c r="BE114" s="30">
        <f t="shared" si="234"/>
        <v>0</v>
      </c>
      <c r="BL114" s="30">
        <f t="shared" si="230"/>
        <v>0</v>
      </c>
      <c r="BM114" s="30">
        <f t="shared" si="231"/>
        <v>0</v>
      </c>
      <c r="BN114" s="30">
        <f t="shared" si="232"/>
        <v>0</v>
      </c>
      <c r="BO114" s="30">
        <f t="shared" si="235"/>
        <v>0</v>
      </c>
      <c r="BT114" s="27"/>
      <c r="BU114" s="27"/>
      <c r="BV114" s="27"/>
      <c r="BW114" s="27"/>
      <c r="BX114" s="27"/>
      <c r="BY114" s="27"/>
    </row>
    <row r="115" spans="2:77" ht="16.5" customHeight="1" x14ac:dyDescent="0.25">
      <c r="F115" s="249">
        <f t="shared" ca="1" si="233"/>
        <v>2021</v>
      </c>
      <c r="G115" s="249" t="str">
        <f t="shared" ca="1" si="222"/>
        <v>aug</v>
      </c>
      <c r="H115" s="3"/>
      <c r="I115" s="41">
        <f t="shared" si="223"/>
        <v>0</v>
      </c>
      <c r="J115" s="259"/>
      <c r="K115" s="2"/>
      <c r="L115" s="73">
        <f t="shared" si="224"/>
        <v>0</v>
      </c>
      <c r="M115" s="259"/>
      <c r="N115" s="2"/>
      <c r="O115" s="73">
        <f t="shared" si="225"/>
        <v>0</v>
      </c>
      <c r="P115" s="259"/>
      <c r="Q115" s="2"/>
      <c r="R115" s="2"/>
      <c r="S115" s="2"/>
      <c r="T115" s="2"/>
      <c r="U115" s="2"/>
      <c r="V115" s="2"/>
      <c r="Y115" s="164">
        <f t="shared" si="213"/>
        <v>0</v>
      </c>
      <c r="Z115" s="164">
        <f t="shared" si="208"/>
        <v>0</v>
      </c>
      <c r="AA115" s="164">
        <f t="shared" si="214"/>
        <v>0</v>
      </c>
      <c r="AB115" s="164">
        <f t="shared" si="215"/>
        <v>0</v>
      </c>
      <c r="AD115" s="164">
        <f>IF(AND('Indata byggnad och BBR krav'!$C$17&gt;0,$D$107="Mäts separat"),(IF($J$104=$AD$101,I118,0)+IF($M$104=$AD$101,L118,0)+IF($P$104=$AD$101,O118,0)),0)</f>
        <v>0</v>
      </c>
      <c r="AF115" s="164">
        <f t="shared" si="216"/>
        <v>0</v>
      </c>
      <c r="AG115" s="164">
        <f t="shared" si="209"/>
        <v>0</v>
      </c>
      <c r="AH115" s="164">
        <f t="shared" si="210"/>
        <v>0</v>
      </c>
      <c r="AI115" s="163">
        <f t="shared" si="217"/>
        <v>0</v>
      </c>
      <c r="AJ115" s="197">
        <f t="shared" si="218"/>
        <v>0</v>
      </c>
      <c r="AK115" s="237" t="str">
        <f t="shared" si="219"/>
        <v/>
      </c>
      <c r="AL115" s="237" t="str">
        <f t="shared" si="220"/>
        <v/>
      </c>
      <c r="AM115" s="35" t="str">
        <f t="shared" ca="1" si="211"/>
        <v>nov</v>
      </c>
      <c r="AN115" s="177">
        <f t="shared" ca="1" si="221"/>
        <v>0.10604000000000001</v>
      </c>
      <c r="AO115" s="134">
        <f t="shared" si="212"/>
        <v>0</v>
      </c>
      <c r="BB115" s="52">
        <f t="shared" si="227"/>
        <v>0</v>
      </c>
      <c r="BC115" s="52">
        <f t="shared" si="228"/>
        <v>0</v>
      </c>
      <c r="BD115" s="52">
        <f t="shared" si="229"/>
        <v>0</v>
      </c>
      <c r="BE115" s="30">
        <f t="shared" si="234"/>
        <v>0</v>
      </c>
      <c r="BL115" s="30">
        <f t="shared" si="230"/>
        <v>0</v>
      </c>
      <c r="BM115" s="30">
        <f t="shared" si="231"/>
        <v>0</v>
      </c>
      <c r="BN115" s="30">
        <f t="shared" si="232"/>
        <v>0</v>
      </c>
      <c r="BO115" s="30">
        <f t="shared" si="235"/>
        <v>0</v>
      </c>
      <c r="BT115" s="27"/>
      <c r="BU115" s="27"/>
      <c r="BV115" s="27"/>
      <c r="BW115" s="27"/>
      <c r="BX115" s="27"/>
      <c r="BY115" s="27"/>
    </row>
    <row r="116" spans="2:77" ht="16.5" customHeight="1" thickBot="1" x14ac:dyDescent="0.3">
      <c r="F116" s="249">
        <f t="shared" ca="1" si="233"/>
        <v>2021</v>
      </c>
      <c r="G116" s="249" t="str">
        <f t="shared" ca="1" si="222"/>
        <v>sept</v>
      </c>
      <c r="H116" s="3"/>
      <c r="I116" s="41">
        <f t="shared" si="223"/>
        <v>0</v>
      </c>
      <c r="J116" s="259"/>
      <c r="K116" s="2"/>
      <c r="L116" s="73">
        <f t="shared" si="224"/>
        <v>0</v>
      </c>
      <c r="M116" s="259"/>
      <c r="N116" s="2"/>
      <c r="O116" s="73">
        <f t="shared" si="225"/>
        <v>0</v>
      </c>
      <c r="P116" s="259"/>
      <c r="Q116" s="2"/>
      <c r="R116" s="2"/>
      <c r="S116" s="2"/>
      <c r="T116" s="2"/>
      <c r="U116" s="2"/>
      <c r="V116" s="2"/>
      <c r="Y116" s="165">
        <f t="shared" si="213"/>
        <v>0</v>
      </c>
      <c r="Z116" s="165">
        <f t="shared" si="208"/>
        <v>0</v>
      </c>
      <c r="AA116" s="165">
        <f t="shared" si="214"/>
        <v>0</v>
      </c>
      <c r="AB116" s="165">
        <f t="shared" si="215"/>
        <v>0</v>
      </c>
      <c r="AD116" s="165">
        <f>IF(AND('Indata byggnad och BBR krav'!$C$17&gt;0,$D$107="Mäts separat"),(IF($J$104=$AD$101,I119,0)+IF($M$104=$AD$101,L119,0)+IF($P$104=$AD$101,O119,0)),0)</f>
        <v>0</v>
      </c>
      <c r="AF116" s="165">
        <f t="shared" si="216"/>
        <v>0</v>
      </c>
      <c r="AG116" s="165">
        <f t="shared" si="209"/>
        <v>0</v>
      </c>
      <c r="AH116" s="165">
        <f t="shared" si="210"/>
        <v>0</v>
      </c>
      <c r="AI116" s="166">
        <f t="shared" si="217"/>
        <v>0</v>
      </c>
      <c r="AJ116" s="198">
        <f t="shared" si="218"/>
        <v>0</v>
      </c>
      <c r="AK116" s="237" t="str">
        <f t="shared" si="219"/>
        <v/>
      </c>
      <c r="AL116" s="237" t="str">
        <f t="shared" si="220"/>
        <v/>
      </c>
      <c r="AM116" s="78" t="str">
        <f t="shared" ca="1" si="211"/>
        <v>dec</v>
      </c>
      <c r="AN116" s="178">
        <f t="shared" ca="1" si="221"/>
        <v>0.11701</v>
      </c>
      <c r="AO116" s="194">
        <f t="shared" si="212"/>
        <v>0</v>
      </c>
      <c r="BB116" s="52">
        <f t="shared" si="227"/>
        <v>0</v>
      </c>
      <c r="BC116" s="52">
        <f t="shared" si="228"/>
        <v>0</v>
      </c>
      <c r="BD116" s="52">
        <f t="shared" si="229"/>
        <v>0</v>
      </c>
      <c r="BE116" s="30">
        <f t="shared" si="234"/>
        <v>0</v>
      </c>
      <c r="BL116" s="30">
        <f t="shared" si="230"/>
        <v>0</v>
      </c>
      <c r="BM116" s="30">
        <f t="shared" si="231"/>
        <v>0</v>
      </c>
      <c r="BN116" s="30">
        <f t="shared" si="232"/>
        <v>0</v>
      </c>
      <c r="BO116" s="30">
        <f t="shared" si="235"/>
        <v>0</v>
      </c>
      <c r="BT116" s="27"/>
      <c r="BU116" s="27"/>
      <c r="BV116" s="27"/>
      <c r="BW116" s="27"/>
      <c r="BX116" s="27"/>
      <c r="BY116" s="27"/>
    </row>
    <row r="117" spans="2:77" ht="16.5" customHeight="1" thickTop="1" thickBot="1" x14ac:dyDescent="0.3">
      <c r="F117" s="249">
        <f t="shared" ca="1" si="233"/>
        <v>2021</v>
      </c>
      <c r="G117" s="249" t="str">
        <f t="shared" ca="1" si="222"/>
        <v>okt</v>
      </c>
      <c r="H117" s="3"/>
      <c r="I117" s="41">
        <f t="shared" si="223"/>
        <v>0</v>
      </c>
      <c r="J117" s="259"/>
      <c r="K117" s="2"/>
      <c r="L117" s="73">
        <f t="shared" si="224"/>
        <v>0</v>
      </c>
      <c r="M117" s="259"/>
      <c r="N117" s="2"/>
      <c r="O117" s="73">
        <f t="shared" si="225"/>
        <v>0</v>
      </c>
      <c r="P117" s="259"/>
      <c r="Q117" s="2"/>
      <c r="R117" s="2"/>
      <c r="S117" s="2"/>
      <c r="T117" s="2"/>
      <c r="U117" s="2"/>
      <c r="V117" s="2"/>
      <c r="X117" s="110" t="s">
        <v>1295</v>
      </c>
      <c r="Y117" s="167">
        <f>SUM(Y105:Y116)</f>
        <v>0</v>
      </c>
      <c r="Z117" s="167">
        <f>SUM(Z105:Z116)</f>
        <v>0</v>
      </c>
      <c r="AA117" s="168">
        <f>SUM(AA105:AA116)</f>
        <v>0</v>
      </c>
      <c r="AB117" s="58">
        <f>Y117+Z117+AA117</f>
        <v>0</v>
      </c>
      <c r="AD117" s="167">
        <f>SUM(AD105:AD116)</f>
        <v>0</v>
      </c>
      <c r="AE117" s="110" t="s">
        <v>1194</v>
      </c>
      <c r="AF117" s="167">
        <f>SUM(AF105:AF116)</f>
        <v>0</v>
      </c>
      <c r="AG117" s="167">
        <f>SUM(AG105:AG116)</f>
        <v>0</v>
      </c>
      <c r="AH117" s="81">
        <f>SUM(AH105:AH116)</f>
        <v>0</v>
      </c>
      <c r="AI117" s="168">
        <f>SUM(AI105:AI116)</f>
        <v>0</v>
      </c>
      <c r="AJ117" s="121">
        <f>SUM(AJ105:AJ116)</f>
        <v>0</v>
      </c>
      <c r="AM117" s="79"/>
      <c r="AN117" s="195">
        <v>1.0000199999999999</v>
      </c>
      <c r="AO117" s="170">
        <f>SUM(AO105:AO116)</f>
        <v>0</v>
      </c>
      <c r="BB117" s="52">
        <f t="shared" si="227"/>
        <v>0</v>
      </c>
      <c r="BC117" s="52">
        <f t="shared" si="228"/>
        <v>0</v>
      </c>
      <c r="BD117" s="52">
        <f t="shared" si="229"/>
        <v>0</v>
      </c>
      <c r="BE117" s="30">
        <f t="shared" si="234"/>
        <v>0</v>
      </c>
      <c r="BL117" s="30">
        <f t="shared" si="230"/>
        <v>0</v>
      </c>
      <c r="BM117" s="30">
        <f t="shared" si="231"/>
        <v>0</v>
      </c>
      <c r="BN117" s="30">
        <f t="shared" si="232"/>
        <v>0</v>
      </c>
      <c r="BO117" s="30">
        <f t="shared" si="235"/>
        <v>0</v>
      </c>
      <c r="BT117" s="27"/>
      <c r="BU117" s="27"/>
      <c r="BV117" s="27"/>
      <c r="BW117" s="27"/>
      <c r="BX117" s="27"/>
      <c r="BY117" s="27"/>
    </row>
    <row r="118" spans="2:77" ht="16.5" customHeight="1" x14ac:dyDescent="0.25">
      <c r="F118" s="249">
        <f t="shared" ca="1" si="233"/>
        <v>2021</v>
      </c>
      <c r="G118" s="249" t="str">
        <f t="shared" ca="1" si="222"/>
        <v>nov</v>
      </c>
      <c r="H118" s="3"/>
      <c r="I118" s="41">
        <f t="shared" si="223"/>
        <v>0</v>
      </c>
      <c r="J118" s="259"/>
      <c r="K118" s="2"/>
      <c r="L118" s="73">
        <f t="shared" si="224"/>
        <v>0</v>
      </c>
      <c r="M118" s="259"/>
      <c r="N118" s="2"/>
      <c r="O118" s="73">
        <f t="shared" si="225"/>
        <v>0</v>
      </c>
      <c r="P118" s="259"/>
      <c r="Q118" s="2"/>
      <c r="R118" s="2"/>
      <c r="S118" s="2"/>
      <c r="T118" s="2"/>
      <c r="U118" s="2"/>
      <c r="V118" s="2"/>
      <c r="X118" s="110" t="s">
        <v>1379</v>
      </c>
      <c r="Y118" s="163">
        <f>IF(Y104="El",Y117-$AA$142,Y117)</f>
        <v>0</v>
      </c>
      <c r="Z118" s="163">
        <f>IF(Z104="El",Z117-$AA$142,Z117)</f>
        <v>0</v>
      </c>
      <c r="AA118" s="173">
        <f>IF(AA104="El",AA117-$AA$142,AA117)</f>
        <v>0</v>
      </c>
      <c r="AB118" s="163">
        <f>Y118+Z118+AA118</f>
        <v>0</v>
      </c>
      <c r="AJ118" s="96"/>
      <c r="BB118" s="52">
        <f t="shared" si="227"/>
        <v>0</v>
      </c>
      <c r="BC118" s="52">
        <f t="shared" si="228"/>
        <v>0</v>
      </c>
      <c r="BD118" s="52">
        <f t="shared" si="229"/>
        <v>0</v>
      </c>
      <c r="BE118" s="30">
        <f t="shared" si="234"/>
        <v>0</v>
      </c>
      <c r="BL118" s="30">
        <f t="shared" si="230"/>
        <v>0</v>
      </c>
      <c r="BM118" s="30">
        <f t="shared" si="231"/>
        <v>0</v>
      </c>
      <c r="BN118" s="30">
        <f t="shared" si="232"/>
        <v>0</v>
      </c>
      <c r="BO118" s="30">
        <f t="shared" si="235"/>
        <v>0</v>
      </c>
      <c r="BT118" s="27"/>
      <c r="BU118" s="27"/>
      <c r="BV118" s="27"/>
      <c r="BW118" s="27"/>
      <c r="BX118" s="27"/>
      <c r="BY118" s="27"/>
    </row>
    <row r="119" spans="2:77" ht="16.5" customHeight="1" x14ac:dyDescent="0.25">
      <c r="F119" s="249">
        <f t="shared" ca="1" si="233"/>
        <v>2021</v>
      </c>
      <c r="G119" s="249" t="str">
        <f t="shared" ca="1" si="222"/>
        <v>dec</v>
      </c>
      <c r="H119" s="3"/>
      <c r="I119" s="41">
        <f t="shared" si="223"/>
        <v>0</v>
      </c>
      <c r="J119" s="259"/>
      <c r="K119" s="2"/>
      <c r="L119" s="73">
        <f t="shared" si="224"/>
        <v>0</v>
      </c>
      <c r="M119" s="259"/>
      <c r="N119" s="2"/>
      <c r="O119" s="73">
        <f t="shared" si="225"/>
        <v>0</v>
      </c>
      <c r="P119" s="259"/>
      <c r="Q119" s="2"/>
      <c r="R119" s="2"/>
      <c r="S119" s="2"/>
      <c r="T119" s="2"/>
      <c r="U119" s="2"/>
      <c r="V119" s="2"/>
      <c r="AE119" s="162"/>
      <c r="BB119" s="52">
        <f t="shared" si="227"/>
        <v>0</v>
      </c>
      <c r="BC119" s="52">
        <f t="shared" si="228"/>
        <v>0</v>
      </c>
      <c r="BD119" s="52">
        <f t="shared" si="229"/>
        <v>0</v>
      </c>
      <c r="BE119" s="30">
        <f t="shared" si="234"/>
        <v>0</v>
      </c>
      <c r="BL119" s="30">
        <f t="shared" si="230"/>
        <v>0</v>
      </c>
      <c r="BM119" s="30">
        <f t="shared" si="231"/>
        <v>0</v>
      </c>
      <c r="BN119" s="30">
        <f t="shared" si="232"/>
        <v>0</v>
      </c>
      <c r="BO119" s="30">
        <f t="shared" si="235"/>
        <v>0</v>
      </c>
    </row>
    <row r="120" spans="2:77" ht="16.5" customHeight="1" thickBot="1" x14ac:dyDescent="0.3">
      <c r="E120" s="20"/>
      <c r="I120" s="51">
        <f>SUM(I108:I119)</f>
        <v>0</v>
      </c>
      <c r="J120" s="51"/>
      <c r="L120" s="51">
        <f>SUM(L108:L119)</f>
        <v>0</v>
      </c>
      <c r="M120" s="51">
        <f>SUM(M108:M119)</f>
        <v>0</v>
      </c>
      <c r="O120" s="51">
        <f>SUM(O108:O119)</f>
        <v>0</v>
      </c>
      <c r="P120" s="51">
        <f>SUM(P108:P119)</f>
        <v>0</v>
      </c>
      <c r="AE120" s="162"/>
      <c r="BB120" s="124">
        <f t="shared" si="227"/>
        <v>0</v>
      </c>
      <c r="BC120" s="124">
        <f t="shared" si="228"/>
        <v>0</v>
      </c>
      <c r="BD120" s="124">
        <f t="shared" si="229"/>
        <v>0</v>
      </c>
      <c r="BE120" s="50">
        <f t="shared" si="234"/>
        <v>0</v>
      </c>
      <c r="BL120" s="50">
        <f t="shared" si="230"/>
        <v>0</v>
      </c>
      <c r="BM120" s="50">
        <f t="shared" si="231"/>
        <v>0</v>
      </c>
      <c r="BN120" s="50">
        <f t="shared" si="232"/>
        <v>0</v>
      </c>
      <c r="BO120" s="50">
        <f t="shared" si="235"/>
        <v>0</v>
      </c>
      <c r="BT120" s="27"/>
      <c r="BU120" s="27"/>
      <c r="BV120" s="27"/>
      <c r="BW120" s="27"/>
      <c r="BX120" s="27"/>
      <c r="BY120" s="27"/>
    </row>
    <row r="121" spans="2:77" ht="16.5" customHeight="1" thickTop="1" thickBot="1" x14ac:dyDescent="0.3">
      <c r="E121" s="20"/>
      <c r="G121" s="241" t="str">
        <f>IF(OR(AK105="Fel i indata",AK106="Fel i indata",AK107="Fel i indata",AK108="Fel i indata",AK109="Fel i indata",AK110="Fel i indata",AK111="Fel i indata",AK112="Fel i indata",AK113="Fel i indata",AK114="Fel i indata",AK115="Fel i indata",AK116="Fel i indata"),"Fel i indata","")</f>
        <v/>
      </c>
      <c r="H121" s="17"/>
      <c r="I121" s="17" t="str">
        <f>IF(G121="Fel i indata","OBS! Se över din indata, energi för fastighetsenergi blir negativ efter avdrag för elgolvvärme om mätvärdena ingår i uppmätt fastighetsenergi!","")</f>
        <v/>
      </c>
      <c r="O121" s="17"/>
      <c r="X121" s="110"/>
      <c r="Y121" s="162"/>
      <c r="Z121" s="162"/>
      <c r="AA121" s="162"/>
      <c r="AC121" s="162"/>
      <c r="AD121" s="162"/>
      <c r="BA121" s="24" t="s">
        <v>1194</v>
      </c>
      <c r="BB121" s="52">
        <f>SUM(BB109:BB120)</f>
        <v>0</v>
      </c>
      <c r="BC121" s="77">
        <f>SUM(BC109:BC120)</f>
        <v>0</v>
      </c>
      <c r="BD121" s="77">
        <f>SUM(BD109:BD120)</f>
        <v>0</v>
      </c>
      <c r="BE121" s="56">
        <f>SUM(BE109:BE120)</f>
        <v>0</v>
      </c>
      <c r="BK121" s="24" t="s">
        <v>1194</v>
      </c>
      <c r="BL121" s="52">
        <f>SUM(BL109:BL120)</f>
        <v>0</v>
      </c>
      <c r="BM121" s="52">
        <f t="shared" ref="BM121:BN121" si="236">SUM(BM109:BM120)</f>
        <v>0</v>
      </c>
      <c r="BN121" s="52">
        <f t="shared" si="236"/>
        <v>0</v>
      </c>
      <c r="BO121" s="56">
        <f>SUM(BO109:BO120)</f>
        <v>0</v>
      </c>
      <c r="BT121" s="27"/>
      <c r="BU121" s="27"/>
      <c r="BV121" s="27"/>
      <c r="BW121" s="27"/>
      <c r="BX121" s="27"/>
      <c r="BY121" s="27"/>
    </row>
    <row r="122" spans="2:77" ht="16.5" customHeight="1" thickBot="1" x14ac:dyDescent="0.3">
      <c r="E122" s="20"/>
      <c r="O122" s="17"/>
      <c r="X122" s="110"/>
      <c r="Y122" s="162"/>
      <c r="Z122" s="162"/>
      <c r="AA122" s="162"/>
      <c r="AC122" s="162"/>
      <c r="AD122" s="162"/>
      <c r="BA122" s="24" t="s">
        <v>1196</v>
      </c>
      <c r="BB122" s="30">
        <f>IF(BB108="El",BB121-$AA$142,BB121)</f>
        <v>0</v>
      </c>
      <c r="BC122" s="30">
        <f>IF(BC108="El",BC121-$AA$142,BC121)</f>
        <v>0</v>
      </c>
      <c r="BD122" s="30">
        <f>IF(BD108="El",BD121-$AA$142,BD121)</f>
        <v>0</v>
      </c>
      <c r="BE122" s="170">
        <f>BB122+BC122+BD122</f>
        <v>0</v>
      </c>
      <c r="BF122" s="27">
        <f>BE122*1000/'Indata byggnad och BBR krav'!$C$16</f>
        <v>0</v>
      </c>
      <c r="BK122" s="186" t="s">
        <v>1393</v>
      </c>
      <c r="BL122" s="30">
        <f>IF(BL108="El",BL121,BL121)</f>
        <v>0</v>
      </c>
      <c r="BM122" s="30">
        <f>IF(BM108="El",BM121,BM121)</f>
        <v>0</v>
      </c>
      <c r="BN122" s="30">
        <f>IF(BN108="El",BN121,BN121)</f>
        <v>0</v>
      </c>
      <c r="BO122" s="170">
        <f>BL122+BM122+BN122</f>
        <v>0</v>
      </c>
      <c r="BP122" s="27">
        <f>BO122*1000/'Indata byggnad och BBR krav'!$C$16</f>
        <v>0</v>
      </c>
      <c r="BT122" s="27"/>
      <c r="BU122" s="27"/>
      <c r="BV122" s="27"/>
      <c r="BW122" s="27"/>
      <c r="BX122" s="27"/>
      <c r="BY122" s="27"/>
    </row>
    <row r="123" spans="2:77" ht="16.5" customHeight="1" thickBot="1" x14ac:dyDescent="0.3">
      <c r="E123" s="20"/>
      <c r="O123" s="17"/>
      <c r="Y123" s="86"/>
      <c r="AE123" s="86"/>
      <c r="AF123" s="86"/>
      <c r="AG123" s="86"/>
      <c r="AH123" s="86"/>
      <c r="AI123" s="86"/>
      <c r="AJ123" s="86"/>
      <c r="AK123" s="86"/>
      <c r="AL123" s="86"/>
      <c r="AM123" s="86"/>
      <c r="AN123" s="86"/>
      <c r="AO123" s="86"/>
      <c r="AP123" s="86"/>
      <c r="AQ123" s="86"/>
      <c r="AR123" s="86"/>
      <c r="AS123" s="86"/>
      <c r="AT123" s="86"/>
      <c r="AU123" s="86"/>
      <c r="AV123" s="86"/>
      <c r="AW123" s="86"/>
      <c r="AX123" s="86"/>
      <c r="BA123" s="24" t="s">
        <v>1298</v>
      </c>
      <c r="BB123" s="30">
        <f>IF(BB122&gt;0,BB122*BB105,0)</f>
        <v>0</v>
      </c>
      <c r="BC123" s="30">
        <f>IF(BC122&gt;0,BC122*BC105,0)</f>
        <v>0</v>
      </c>
      <c r="BD123" s="30">
        <f>IF(BD122&gt;0,BD122*BD105,0)</f>
        <v>0</v>
      </c>
      <c r="BE123" s="63">
        <f>BB123+BC123+BD123</f>
        <v>0</v>
      </c>
      <c r="BK123" s="24" t="s">
        <v>1298</v>
      </c>
      <c r="BL123" s="30">
        <f>IF(BL122&gt;0,BL122*BL105,0)</f>
        <v>0</v>
      </c>
      <c r="BM123" s="30">
        <f>IF(BM122&gt;0,BM122*BM105,0)</f>
        <v>0</v>
      </c>
      <c r="BN123" s="30">
        <f>IF(BN122&gt;0,BN122*BN105,0)</f>
        <v>0</v>
      </c>
      <c r="BO123" s="63">
        <f>BL123+BM123+BN123</f>
        <v>0</v>
      </c>
      <c r="BT123" s="27"/>
      <c r="BU123" s="27"/>
      <c r="BV123" s="27"/>
      <c r="BW123" s="27"/>
      <c r="BX123" s="27"/>
      <c r="BY123" s="27"/>
    </row>
    <row r="124" spans="2:77" ht="16.5" customHeight="1" thickBot="1" x14ac:dyDescent="0.3">
      <c r="E124" s="20"/>
      <c r="O124" s="17"/>
      <c r="X124" s="84"/>
      <c r="AA124" s="80"/>
      <c r="BA124" s="24" t="s">
        <v>1299</v>
      </c>
      <c r="BB124" s="30">
        <f>IF(BB122&gt;0,BB122*BB106,0)</f>
        <v>0</v>
      </c>
      <c r="BC124" s="30">
        <f>IF(BC122&gt;0,BC122*BC106,0)</f>
        <v>0</v>
      </c>
      <c r="BD124" s="30">
        <f>IF(BD122&gt;0,BD122*BD106,0)</f>
        <v>0</v>
      </c>
      <c r="BE124" s="63">
        <f>BB124+BC124+BD124</f>
        <v>0</v>
      </c>
      <c r="BK124" s="24" t="s">
        <v>1299</v>
      </c>
      <c r="BL124" s="30">
        <f>IF(BL122&gt;0,BL122*BL106,0)</f>
        <v>0</v>
      </c>
      <c r="BM124" s="30">
        <f>IF(BM122&gt;0,BM122*BM106,0)</f>
        <v>0</v>
      </c>
      <c r="BN124" s="30">
        <f>IF(BN122&gt;0,BN122*BN106,0)</f>
        <v>0</v>
      </c>
      <c r="BO124" s="63">
        <f>BL124+BM124+BN124</f>
        <v>0</v>
      </c>
      <c r="BT124" s="27"/>
      <c r="BU124" s="27"/>
      <c r="BV124" s="27"/>
      <c r="BW124" s="27"/>
      <c r="BX124" s="27"/>
      <c r="BY124" s="27"/>
    </row>
    <row r="125" spans="2:77" ht="16.5" customHeight="1" x14ac:dyDescent="0.25">
      <c r="E125" s="20"/>
      <c r="X125" s="84"/>
      <c r="Y125" s="86" t="s">
        <v>1082</v>
      </c>
      <c r="BT125" s="27"/>
      <c r="BU125" s="27"/>
      <c r="BV125" s="27"/>
      <c r="BW125" s="27"/>
      <c r="BX125" s="27"/>
      <c r="BY125" s="27"/>
    </row>
    <row r="126" spans="2:77" ht="16.5" customHeight="1" thickBot="1" x14ac:dyDescent="0.3">
      <c r="B126" s="254">
        <v>5</v>
      </c>
      <c r="C126" s="255" t="s">
        <v>1347</v>
      </c>
      <c r="D126" s="256"/>
      <c r="E126" s="257"/>
      <c r="F126" s="256"/>
      <c r="G126" s="256"/>
      <c r="H126" s="256"/>
      <c r="I126" s="256"/>
      <c r="J126" s="256"/>
      <c r="K126" s="256"/>
      <c r="L126" s="256"/>
      <c r="M126" s="257"/>
      <c r="N126" s="257"/>
      <c r="O126" s="257"/>
      <c r="P126" s="257"/>
      <c r="Q126" s="257"/>
      <c r="R126" s="257"/>
      <c r="S126" s="257"/>
      <c r="T126" s="257"/>
      <c r="U126" s="257"/>
      <c r="V126" s="257"/>
      <c r="W126" s="258"/>
      <c r="AK126" s="85" t="s">
        <v>1128</v>
      </c>
      <c r="AN126" s="87"/>
      <c r="BA126" s="24" t="s">
        <v>1399</v>
      </c>
      <c r="BB126" s="32">
        <f>IF(BB108="",0,VLOOKUP(BB108,'Indata byggnad och BBR krav'!$Y$8:$AA$14,3,TRUE))</f>
        <v>2.1999999999999999E-2</v>
      </c>
      <c r="BC126" s="32">
        <f>IF(BC108="",0,VLOOKUP(BC108,'Indata byggnad och BBR krav'!$Y$8:$AA$14,3,TRUE))</f>
        <v>0</v>
      </c>
      <c r="BD126" s="32">
        <f>IF(BD108="",0,VLOOKUP(BD108,'Indata byggnad och BBR krav'!$Y$8:$AA$14,3,TRUE))</f>
        <v>0</v>
      </c>
      <c r="BE126" s="191"/>
      <c r="BK126" s="24" t="s">
        <v>1399</v>
      </c>
      <c r="BL126" s="32">
        <f>IF(BL108="",0,VLOOKUP(BL108,'Indata byggnad och BBR krav'!$Y$8:$AA$14,3,TRUE))</f>
        <v>2.1999999999999999E-2</v>
      </c>
      <c r="BM126" s="32">
        <f>IF(BM108="",0,VLOOKUP(BM108,'Indata byggnad och BBR krav'!$Y$8:$AA$14,3,TRUE))</f>
        <v>0</v>
      </c>
      <c r="BN126" s="32">
        <f>IF(BN108="",0,VLOOKUP(BN108,'Indata byggnad och BBR krav'!$Y$8:$AA$14,3,TRUE))</f>
        <v>0</v>
      </c>
      <c r="BO126" s="191"/>
      <c r="BT126" s="27"/>
      <c r="BU126" s="27"/>
      <c r="BV126" s="27"/>
      <c r="BW126" s="27"/>
      <c r="BX126" s="27"/>
      <c r="BY126" s="27"/>
    </row>
    <row r="127" spans="2:77" ht="16.5" customHeight="1" thickBot="1" x14ac:dyDescent="0.3">
      <c r="X127" s="110"/>
      <c r="Y127" s="86" t="s">
        <v>1189</v>
      </c>
      <c r="Z127" s="86"/>
      <c r="AA127" s="86"/>
      <c r="AB127" s="86"/>
      <c r="AC127" s="86" t="s">
        <v>1190</v>
      </c>
      <c r="AD127" s="86"/>
      <c r="AE127" s="86" t="s">
        <v>1191</v>
      </c>
      <c r="AF127" s="86"/>
      <c r="AG127" s="86" t="s">
        <v>1083</v>
      </c>
      <c r="AJ127" s="86"/>
      <c r="AK127" s="88" t="s">
        <v>1076</v>
      </c>
      <c r="AL127" s="80" t="s">
        <v>1076</v>
      </c>
      <c r="AM127" s="80" t="s">
        <v>1083</v>
      </c>
      <c r="AN127" s="88" t="s">
        <v>1083</v>
      </c>
      <c r="AO127" s="80" t="s">
        <v>17</v>
      </c>
      <c r="AP127" s="80" t="s">
        <v>17</v>
      </c>
      <c r="AQ127" s="80" t="s">
        <v>17</v>
      </c>
      <c r="AR127" s="80" t="s">
        <v>17</v>
      </c>
      <c r="AS127" s="80" t="s">
        <v>16</v>
      </c>
      <c r="AT127" s="80" t="s">
        <v>16</v>
      </c>
      <c r="AU127" s="80" t="s">
        <v>16</v>
      </c>
      <c r="AV127" s="80"/>
      <c r="AW127" s="80"/>
      <c r="AX127" s="80"/>
      <c r="AZ127" s="297"/>
      <c r="BA127" s="298" t="s">
        <v>1408</v>
      </c>
      <c r="BB127" s="280">
        <f>BB122*1000/'Indata byggnad och BBR krav'!$C$40*'Indata byggnad och BBR krav'!$C$38*BB126</f>
        <v>0</v>
      </c>
      <c r="BC127" s="280">
        <f>BC122*1000/'Indata byggnad och BBR krav'!$C$40*'Indata byggnad och BBR krav'!$C$38*BC126</f>
        <v>0</v>
      </c>
      <c r="BD127" s="280">
        <f>BD122*1000/'Indata byggnad och BBR krav'!$C$40*'Indata byggnad och BBR krav'!$C$38*BD126</f>
        <v>0</v>
      </c>
      <c r="BE127" s="281">
        <f>BB127+BC127+BD127</f>
        <v>0</v>
      </c>
      <c r="BJ127" s="297"/>
      <c r="BK127" s="298" t="s">
        <v>1408</v>
      </c>
      <c r="BL127" s="280">
        <f>BL122*1000/'Indata byggnad och BBR krav'!$C$40*'Indata byggnad och BBR krav'!$C$38*BL126</f>
        <v>0</v>
      </c>
      <c r="BM127" s="280">
        <f>BM122*1000/'Indata byggnad och BBR krav'!$C$40*'Indata byggnad och BBR krav'!$C$38*BM126</f>
        <v>0</v>
      </c>
      <c r="BN127" s="280">
        <f>BN122*1000/'Indata byggnad och BBR krav'!$C$40*'Indata byggnad och BBR krav'!$C$38*BN126</f>
        <v>0</v>
      </c>
      <c r="BO127" s="281">
        <f>BL127+BM127+BN127</f>
        <v>0</v>
      </c>
      <c r="BT127" s="27"/>
      <c r="BU127" s="27"/>
      <c r="BV127" s="27"/>
      <c r="BW127" s="27"/>
      <c r="BX127" s="27"/>
      <c r="BY127" s="27"/>
    </row>
    <row r="128" spans="2:77" ht="16.5" customHeight="1" thickBot="1" x14ac:dyDescent="0.3">
      <c r="F128" s="350" t="s">
        <v>1138</v>
      </c>
      <c r="G128" s="350"/>
      <c r="I128" s="60" t="s">
        <v>1047</v>
      </c>
      <c r="J128" s="60"/>
      <c r="L128" s="60" t="s">
        <v>1048</v>
      </c>
      <c r="M128" s="60"/>
      <c r="O128" s="60" t="s">
        <v>1049</v>
      </c>
      <c r="R128" s="60" t="s">
        <v>1192</v>
      </c>
      <c r="U128" s="60" t="s">
        <v>1193</v>
      </c>
      <c r="X128" s="110" t="s">
        <v>1079</v>
      </c>
      <c r="Y128" s="80" t="s">
        <v>1087</v>
      </c>
      <c r="Z128" s="80" t="s">
        <v>1088</v>
      </c>
      <c r="AA128" s="80" t="s">
        <v>1089</v>
      </c>
      <c r="AB128" s="80" t="s">
        <v>1090</v>
      </c>
      <c r="AC128" s="80" t="s">
        <v>1087</v>
      </c>
      <c r="AD128" s="80" t="s">
        <v>1088</v>
      </c>
      <c r="AE128" s="162" t="s">
        <v>1087</v>
      </c>
      <c r="AF128" s="162" t="s">
        <v>1088</v>
      </c>
      <c r="AG128" s="162" t="s">
        <v>1087</v>
      </c>
      <c r="AH128" s="162" t="s">
        <v>1088</v>
      </c>
      <c r="AJ128" s="162"/>
      <c r="AK128" s="80" t="s">
        <v>1087</v>
      </c>
      <c r="AL128" s="80" t="s">
        <v>1088</v>
      </c>
      <c r="AM128" s="80" t="s">
        <v>1087</v>
      </c>
      <c r="AN128" s="80" t="s">
        <v>1088</v>
      </c>
      <c r="AO128" s="80" t="s">
        <v>1087</v>
      </c>
      <c r="AP128" s="80" t="s">
        <v>1088</v>
      </c>
      <c r="AQ128" s="80" t="s">
        <v>1089</v>
      </c>
      <c r="AR128" s="80" t="s">
        <v>1090</v>
      </c>
      <c r="AS128" s="80" t="s">
        <v>1087</v>
      </c>
      <c r="AT128" s="80" t="s">
        <v>1088</v>
      </c>
      <c r="AU128" s="80" t="s">
        <v>1090</v>
      </c>
      <c r="AV128" s="80"/>
      <c r="AW128" s="80"/>
      <c r="AX128" s="80"/>
      <c r="AZ128" s="297"/>
      <c r="BA128" s="299" t="s">
        <v>1448</v>
      </c>
      <c r="BB128" s="280">
        <f>BB122*1000/'Indata byggnad och BBR krav'!$C$16*'Indata byggnad och BBR krav'!$C$38*BB126</f>
        <v>0</v>
      </c>
      <c r="BC128" s="280">
        <f>BC122*1000/'Indata byggnad och BBR krav'!$C$16*'Indata byggnad och BBR krav'!$C$38*BC126</f>
        <v>0</v>
      </c>
      <c r="BD128" s="280">
        <f>BD122*1000/'Indata byggnad och BBR krav'!$C$16*'Indata byggnad och BBR krav'!$C$38*BD126</f>
        <v>0</v>
      </c>
      <c r="BE128" s="281">
        <f t="shared" ref="BE128:BE129" si="237">BB128+BC128+BD128</f>
        <v>0</v>
      </c>
      <c r="BJ128" s="297"/>
      <c r="BK128" s="299" t="s">
        <v>1448</v>
      </c>
      <c r="BL128" s="280">
        <f>BL122*1000/'Indata byggnad och BBR krav'!$C$16*'Indata byggnad och BBR krav'!$C$38*BL126</f>
        <v>0</v>
      </c>
      <c r="BM128" s="280">
        <f>BM122*1000/'Indata byggnad och BBR krav'!$C$16*'Indata byggnad och BBR krav'!$C$38*BM126</f>
        <v>0</v>
      </c>
      <c r="BN128" s="280">
        <f>BN122*1000/'Indata byggnad och BBR krav'!$C$16*'Indata byggnad och BBR krav'!$C$38*BN126</f>
        <v>0</v>
      </c>
      <c r="BO128" s="281">
        <f t="shared" ref="BO128:BO129" si="238">BL128+BM128+BN128</f>
        <v>0</v>
      </c>
      <c r="BT128" s="27"/>
      <c r="BU128" s="27"/>
      <c r="BV128" s="27"/>
      <c r="BW128" s="27"/>
      <c r="BX128" s="27"/>
      <c r="BY128" s="27"/>
    </row>
    <row r="129" spans="3:77" ht="16.5" customHeight="1" thickBot="1" x14ac:dyDescent="0.3">
      <c r="C129" s="33" t="s">
        <v>1050</v>
      </c>
      <c r="D129" s="242">
        <v>0</v>
      </c>
      <c r="F129" s="34" t="s">
        <v>9</v>
      </c>
      <c r="G129" s="249">
        <f>$G$14</f>
        <v>2021</v>
      </c>
      <c r="H129" s="3"/>
      <c r="I129" s="33" t="s">
        <v>1084</v>
      </c>
      <c r="J129" s="242" t="s">
        <v>17</v>
      </c>
      <c r="L129" s="33" t="s">
        <v>1084</v>
      </c>
      <c r="M129" s="242" t="s">
        <v>16</v>
      </c>
      <c r="O129" s="33" t="s">
        <v>1084</v>
      </c>
      <c r="P129" s="242" t="s">
        <v>1076</v>
      </c>
      <c r="R129" s="33" t="s">
        <v>1084</v>
      </c>
      <c r="S129" s="242" t="s">
        <v>17</v>
      </c>
      <c r="U129" s="33" t="s">
        <v>1084</v>
      </c>
      <c r="V129" s="242" t="s">
        <v>17</v>
      </c>
      <c r="Y129" s="35" t="s">
        <v>1188</v>
      </c>
      <c r="Z129" s="35" t="s">
        <v>1188</v>
      </c>
      <c r="AA129" s="35" t="s">
        <v>1188</v>
      </c>
      <c r="AB129" s="35" t="s">
        <v>1188</v>
      </c>
      <c r="AC129" s="35" t="s">
        <v>1188</v>
      </c>
      <c r="AD129" s="35" t="s">
        <v>1188</v>
      </c>
      <c r="AE129" s="35" t="s">
        <v>1188</v>
      </c>
      <c r="AF129" s="35" t="s">
        <v>1188</v>
      </c>
      <c r="AG129" s="35" t="s">
        <v>1188</v>
      </c>
      <c r="AH129" s="35" t="s">
        <v>1188</v>
      </c>
      <c r="AJ129" s="89" t="s">
        <v>1130</v>
      </c>
      <c r="AK129" s="176" t="str">
        <f t="shared" ref="AK129:AU129" si="239">$DW$3</f>
        <v>Före andra mätare</v>
      </c>
      <c r="AL129" s="176" t="str">
        <f t="shared" si="239"/>
        <v>Före andra mätare</v>
      </c>
      <c r="AM129" s="176" t="str">
        <f t="shared" si="239"/>
        <v>Före andra mätare</v>
      </c>
      <c r="AN129" s="176" t="str">
        <f t="shared" si="239"/>
        <v>Före andra mätare</v>
      </c>
      <c r="AO129" s="176" t="str">
        <f t="shared" si="239"/>
        <v>Före andra mätare</v>
      </c>
      <c r="AP129" s="176" t="str">
        <f t="shared" si="239"/>
        <v>Före andra mätare</v>
      </c>
      <c r="AQ129" s="176" t="str">
        <f t="shared" si="239"/>
        <v>Före andra mätare</v>
      </c>
      <c r="AR129" s="176" t="str">
        <f t="shared" si="239"/>
        <v>Före andra mätare</v>
      </c>
      <c r="AS129" s="176" t="str">
        <f t="shared" si="239"/>
        <v>Före andra mätare</v>
      </c>
      <c r="AT129" s="176" t="str">
        <f t="shared" si="239"/>
        <v>Före andra mätare</v>
      </c>
      <c r="AU129" s="176" t="str">
        <f t="shared" si="239"/>
        <v>Före andra mätare</v>
      </c>
      <c r="AV129" s="176"/>
      <c r="AW129" s="176"/>
      <c r="AX129" s="80"/>
      <c r="AZ129" s="297"/>
      <c r="BA129" s="299" t="s">
        <v>1449</v>
      </c>
      <c r="BB129" s="282">
        <f>BB127/50</f>
        <v>0</v>
      </c>
      <c r="BC129" s="282">
        <f t="shared" ref="BC129:BD129" si="240">BC127/50</f>
        <v>0</v>
      </c>
      <c r="BD129" s="282">
        <f t="shared" si="240"/>
        <v>0</v>
      </c>
      <c r="BE129" s="283">
        <f t="shared" si="237"/>
        <v>0</v>
      </c>
      <c r="BJ129" s="297"/>
      <c r="BK129" s="299" t="s">
        <v>1449</v>
      </c>
      <c r="BL129" s="282">
        <f>BL127/50</f>
        <v>0</v>
      </c>
      <c r="BM129" s="282">
        <f t="shared" ref="BM129:BN129" si="241">BM127/50</f>
        <v>0</v>
      </c>
      <c r="BN129" s="282">
        <f t="shared" si="241"/>
        <v>0</v>
      </c>
      <c r="BO129" s="283">
        <f t="shared" si="238"/>
        <v>0</v>
      </c>
      <c r="BT129" s="27"/>
      <c r="BU129" s="27"/>
      <c r="BV129" s="27"/>
      <c r="BW129" s="27"/>
      <c r="BX129" s="27"/>
      <c r="BY129" s="27"/>
    </row>
    <row r="130" spans="3:77" ht="16.5" customHeight="1" x14ac:dyDescent="0.25">
      <c r="C130" s="152" t="s">
        <v>1354</v>
      </c>
      <c r="F130" s="34" t="s">
        <v>19</v>
      </c>
      <c r="G130" s="249" t="str">
        <f>$G$15</f>
        <v>jan</v>
      </c>
      <c r="H130" s="3"/>
      <c r="I130" s="33" t="s">
        <v>1079</v>
      </c>
      <c r="J130" s="242" t="s">
        <v>1089</v>
      </c>
      <c r="L130" s="33" t="s">
        <v>1079</v>
      </c>
      <c r="M130" s="242" t="s">
        <v>1087</v>
      </c>
      <c r="O130" s="33" t="s">
        <v>1079</v>
      </c>
      <c r="P130" s="242" t="s">
        <v>1087</v>
      </c>
      <c r="R130" s="33" t="s">
        <v>1079</v>
      </c>
      <c r="S130" s="242" t="s">
        <v>1089</v>
      </c>
      <c r="U130" s="33" t="s">
        <v>1079</v>
      </c>
      <c r="V130" s="242" t="s">
        <v>1090</v>
      </c>
      <c r="Y130" s="164">
        <f t="shared" ref="Y130:Y141" si="242">AO130</f>
        <v>0</v>
      </c>
      <c r="Z130" s="164">
        <f t="shared" ref="Z130:Z141" si="243">AP130</f>
        <v>0</v>
      </c>
      <c r="AA130" s="164">
        <f t="shared" ref="AA130:AA141" si="244">AQ130</f>
        <v>0</v>
      </c>
      <c r="AB130" s="164">
        <f t="shared" ref="AB130:AB141" si="245">AR130</f>
        <v>0</v>
      </c>
      <c r="AC130" s="163">
        <f t="shared" ref="AC130:AC141" si="246">AS130</f>
        <v>0</v>
      </c>
      <c r="AD130" s="163">
        <f t="shared" ref="AD130:AD141" si="247">AT130</f>
        <v>0</v>
      </c>
      <c r="AE130" s="163">
        <f t="shared" ref="AE130:AE141" si="248">AK130</f>
        <v>0</v>
      </c>
      <c r="AF130" s="163">
        <f t="shared" ref="AF130:AF141" si="249">AL130</f>
        <v>0</v>
      </c>
      <c r="AG130" s="163">
        <f t="shared" ref="AG130:AG141" si="250">AM130</f>
        <v>0</v>
      </c>
      <c r="AH130" s="163">
        <f t="shared" ref="AH130:AH141" si="251">AN130</f>
        <v>0</v>
      </c>
      <c r="AJ130" s="162" t="str">
        <f t="shared" ref="AJ130:AJ141" ca="1" si="252">G134</f>
        <v>jan</v>
      </c>
      <c r="AK130" s="164">
        <f t="shared" ref="AK130:AK141" si="253">IF($J$129=AK$127,IF($J$130=AK$128,IF($J$131=AK$129,$I134,0),0),0)+IF($M$129=AK$127,IF($M$130=AK$128,IF($M$131=AK$129,$L134,0),0),0)+IF($P$129=AK$127,IF($P$130=AK$128,IF($P$131=AK$129,$O134,0),0),0)+IF($S$129=AK$127,IF($S$130=AK$128,IF($S$131=AK$129,R134,0),0),0)+IF($V$129=AK$127,IF($V$130=AK$128,IF($V$131=AK$129,U134,0),0),0)</f>
        <v>0</v>
      </c>
      <c r="AL130" s="164">
        <f t="shared" ref="AL130:AU130" si="254">IF($J$129=AL$127,IF($J$130=AL$128,IF($J$131=AL$129,$I134,0),0),0)+IF($M$129=AL$127,IF($M$130=AL$128,IF($M$131=AL$129,$L134,0),0),0)+IF($P$129=AL$127,IF($P$130=AL$128,IF($P$131=AL$129,$O134,0),0),0)+IF($S$129=AL$127,IF($S$130=AL$128,IF($S$131=AL$129,$R134,0),0),0)+IF($V$129=AL$127,IF($V$130=AL$128,IF($V$131=AL$129,$U134,0),0),0)</f>
        <v>0</v>
      </c>
      <c r="AM130" s="164">
        <f t="shared" si="254"/>
        <v>0</v>
      </c>
      <c r="AN130" s="164">
        <f t="shared" si="254"/>
        <v>0</v>
      </c>
      <c r="AO130" s="164">
        <f t="shared" si="254"/>
        <v>0</v>
      </c>
      <c r="AP130" s="164">
        <f t="shared" si="254"/>
        <v>0</v>
      </c>
      <c r="AQ130" s="164">
        <f t="shared" si="254"/>
        <v>0</v>
      </c>
      <c r="AR130" s="164">
        <f t="shared" si="254"/>
        <v>0</v>
      </c>
      <c r="AS130" s="164">
        <f t="shared" si="254"/>
        <v>0</v>
      </c>
      <c r="AT130" s="164">
        <f t="shared" si="254"/>
        <v>0</v>
      </c>
      <c r="AU130" s="164">
        <f t="shared" si="254"/>
        <v>0</v>
      </c>
      <c r="AV130" s="175"/>
      <c r="AW130" s="175"/>
      <c r="AX130" s="175"/>
      <c r="BT130" s="27"/>
      <c r="BU130" s="27"/>
      <c r="BV130" s="27"/>
      <c r="BW130" s="27"/>
      <c r="BX130" s="27"/>
      <c r="BY130" s="27"/>
    </row>
    <row r="131" spans="3:77" ht="16.5" customHeight="1" x14ac:dyDescent="0.25">
      <c r="C131" s="351"/>
      <c r="D131" s="352"/>
      <c r="F131" s="60"/>
      <c r="G131" s="60"/>
      <c r="H131" s="3"/>
      <c r="I131" s="34" t="s">
        <v>1140</v>
      </c>
      <c r="J131" s="247" t="s">
        <v>1141</v>
      </c>
      <c r="L131" s="34" t="s">
        <v>1140</v>
      </c>
      <c r="M131" s="247" t="s">
        <v>1141</v>
      </c>
      <c r="O131" s="34" t="s">
        <v>1140</v>
      </c>
      <c r="P131" s="247" t="s">
        <v>1141</v>
      </c>
      <c r="R131" s="34" t="s">
        <v>1140</v>
      </c>
      <c r="S131" s="247" t="s">
        <v>1141</v>
      </c>
      <c r="U131" s="34" t="s">
        <v>1140</v>
      </c>
      <c r="V131" s="242" t="s">
        <v>1141</v>
      </c>
      <c r="Y131" s="164">
        <f t="shared" si="242"/>
        <v>0</v>
      </c>
      <c r="Z131" s="164">
        <f t="shared" si="243"/>
        <v>0</v>
      </c>
      <c r="AA131" s="164">
        <f t="shared" si="244"/>
        <v>0</v>
      </c>
      <c r="AB131" s="164">
        <f t="shared" si="245"/>
        <v>0</v>
      </c>
      <c r="AC131" s="163">
        <f t="shared" si="246"/>
        <v>0</v>
      </c>
      <c r="AD131" s="163">
        <f t="shared" si="247"/>
        <v>0</v>
      </c>
      <c r="AE131" s="163">
        <f t="shared" si="248"/>
        <v>0</v>
      </c>
      <c r="AF131" s="163">
        <f t="shared" si="249"/>
        <v>0</v>
      </c>
      <c r="AG131" s="163">
        <f t="shared" si="250"/>
        <v>0</v>
      </c>
      <c r="AH131" s="163">
        <f t="shared" si="251"/>
        <v>0</v>
      </c>
      <c r="AJ131" s="162" t="str">
        <f t="shared" ca="1" si="252"/>
        <v>feb</v>
      </c>
      <c r="AK131" s="164">
        <f t="shared" si="253"/>
        <v>0</v>
      </c>
      <c r="AL131" s="164">
        <f t="shared" ref="AL131:AU131" si="255">IF($J$129=AL$127,IF($J$130=AL$128,IF($J$131=AL$129,$I135,0),0),0)+IF($M$129=AL$127,IF($M$130=AL$128,IF($M$131=AL$129,$L135,0),0),0)+IF($P$129=AL$127,IF($P$130=AL$128,IF($P$131=AL$129,$O135,0),0),0)+IF($S$129=AL$127,IF($S$130=AL$128,IF($S$131=AL$129,$R135,0),0),0)+IF($V$129=AL$127,IF($V$130=AL$128,IF($V$131=AL$129,$U135,0),0),0)</f>
        <v>0</v>
      </c>
      <c r="AM131" s="164">
        <f t="shared" si="255"/>
        <v>0</v>
      </c>
      <c r="AN131" s="164">
        <f t="shared" si="255"/>
        <v>0</v>
      </c>
      <c r="AO131" s="164">
        <f t="shared" si="255"/>
        <v>0</v>
      </c>
      <c r="AP131" s="164">
        <f t="shared" si="255"/>
        <v>0</v>
      </c>
      <c r="AQ131" s="164">
        <f t="shared" si="255"/>
        <v>0</v>
      </c>
      <c r="AR131" s="164">
        <f t="shared" si="255"/>
        <v>0</v>
      </c>
      <c r="AS131" s="164">
        <f t="shared" si="255"/>
        <v>0</v>
      </c>
      <c r="AT131" s="164">
        <f t="shared" si="255"/>
        <v>0</v>
      </c>
      <c r="AU131" s="164">
        <f t="shared" si="255"/>
        <v>0</v>
      </c>
      <c r="AV131" s="175"/>
      <c r="AW131" s="175"/>
      <c r="AX131" s="175"/>
      <c r="BT131" s="27"/>
      <c r="BU131" s="27"/>
      <c r="BV131" s="27"/>
      <c r="BW131" s="27"/>
      <c r="BX131" s="27"/>
      <c r="BY131" s="27"/>
    </row>
    <row r="132" spans="3:77" ht="16.5" customHeight="1" x14ac:dyDescent="0.25">
      <c r="C132" s="353"/>
      <c r="D132" s="354"/>
      <c r="G132" s="3"/>
      <c r="H132" s="3"/>
      <c r="I132" s="64"/>
      <c r="J132" s="40" t="s">
        <v>1132</v>
      </c>
      <c r="L132" s="64"/>
      <c r="M132" s="40" t="s">
        <v>1132</v>
      </c>
      <c r="O132" s="64"/>
      <c r="P132" s="40" t="s">
        <v>1132</v>
      </c>
      <c r="R132" s="64"/>
      <c r="S132" s="40" t="s">
        <v>1132</v>
      </c>
      <c r="U132" s="64"/>
      <c r="V132" s="40" t="s">
        <v>1132</v>
      </c>
      <c r="Y132" s="164">
        <f t="shared" si="242"/>
        <v>0</v>
      </c>
      <c r="Z132" s="164">
        <f t="shared" si="243"/>
        <v>0</v>
      </c>
      <c r="AA132" s="164">
        <f t="shared" si="244"/>
        <v>0</v>
      </c>
      <c r="AB132" s="164">
        <f t="shared" si="245"/>
        <v>0</v>
      </c>
      <c r="AC132" s="163">
        <f t="shared" si="246"/>
        <v>0</v>
      </c>
      <c r="AD132" s="163">
        <f t="shared" si="247"/>
        <v>0</v>
      </c>
      <c r="AE132" s="163">
        <f t="shared" si="248"/>
        <v>0</v>
      </c>
      <c r="AF132" s="163">
        <f t="shared" si="249"/>
        <v>0</v>
      </c>
      <c r="AG132" s="163">
        <f t="shared" si="250"/>
        <v>0</v>
      </c>
      <c r="AH132" s="163">
        <f t="shared" si="251"/>
        <v>0</v>
      </c>
      <c r="AJ132" s="162" t="str">
        <f t="shared" ca="1" si="252"/>
        <v>mars</v>
      </c>
      <c r="AK132" s="164">
        <f t="shared" si="253"/>
        <v>0</v>
      </c>
      <c r="AL132" s="164">
        <f t="shared" ref="AL132:AU132" si="256">IF($J$129=AL$127,IF($J$130=AL$128,IF($J$131=AL$129,$I136,0),0),0)+IF($M$129=AL$127,IF($M$130=AL$128,IF($M$131=AL$129,$L136,0),0),0)+IF($P$129=AL$127,IF($P$130=AL$128,IF($P$131=AL$129,$O136,0),0),0)+IF($S$129=AL$127,IF($S$130=AL$128,IF($S$131=AL$129,$R136,0),0),0)+IF($V$129=AL$127,IF($V$130=AL$128,IF($V$131=AL$129,$U136,0),0),0)</f>
        <v>0</v>
      </c>
      <c r="AM132" s="164">
        <f t="shared" si="256"/>
        <v>0</v>
      </c>
      <c r="AN132" s="164">
        <f t="shared" si="256"/>
        <v>0</v>
      </c>
      <c r="AO132" s="164">
        <f t="shared" si="256"/>
        <v>0</v>
      </c>
      <c r="AP132" s="164">
        <f t="shared" si="256"/>
        <v>0</v>
      </c>
      <c r="AQ132" s="164">
        <f t="shared" si="256"/>
        <v>0</v>
      </c>
      <c r="AR132" s="164">
        <f t="shared" si="256"/>
        <v>0</v>
      </c>
      <c r="AS132" s="164">
        <f t="shared" si="256"/>
        <v>0</v>
      </c>
      <c r="AT132" s="164">
        <f t="shared" si="256"/>
        <v>0</v>
      </c>
      <c r="AU132" s="164">
        <f t="shared" si="256"/>
        <v>0</v>
      </c>
      <c r="AV132" s="175"/>
      <c r="AW132" s="175"/>
      <c r="AX132" s="175"/>
      <c r="BT132" s="27"/>
      <c r="BU132" s="27"/>
      <c r="BV132" s="27"/>
      <c r="BW132" s="27"/>
      <c r="BX132" s="27"/>
      <c r="BY132" s="27"/>
    </row>
    <row r="133" spans="3:77" ht="16.5" customHeight="1" x14ac:dyDescent="0.25">
      <c r="C133" s="355"/>
      <c r="D133" s="356"/>
      <c r="F133" s="262" t="s">
        <v>1044</v>
      </c>
      <c r="G133" s="262" t="s">
        <v>1045</v>
      </c>
      <c r="H133" s="3"/>
      <c r="I133" s="23" t="s">
        <v>1075</v>
      </c>
      <c r="J133" s="262" t="s">
        <v>1086</v>
      </c>
      <c r="L133" s="23" t="s">
        <v>1075</v>
      </c>
      <c r="M133" s="262" t="s">
        <v>1086</v>
      </c>
      <c r="O133" s="23" t="s">
        <v>1075</v>
      </c>
      <c r="P133" s="262" t="s">
        <v>1086</v>
      </c>
      <c r="R133" s="23" t="s">
        <v>1075</v>
      </c>
      <c r="S133" s="262" t="s">
        <v>1086</v>
      </c>
      <c r="U133" s="23" t="s">
        <v>1075</v>
      </c>
      <c r="V133" s="262" t="s">
        <v>1086</v>
      </c>
      <c r="Y133" s="164">
        <f t="shared" si="242"/>
        <v>0</v>
      </c>
      <c r="Z133" s="164">
        <f t="shared" si="243"/>
        <v>0</v>
      </c>
      <c r="AA133" s="164">
        <f t="shared" si="244"/>
        <v>0</v>
      </c>
      <c r="AB133" s="164">
        <f t="shared" si="245"/>
        <v>0</v>
      </c>
      <c r="AC133" s="163">
        <f t="shared" si="246"/>
        <v>0</v>
      </c>
      <c r="AD133" s="163">
        <f t="shared" si="247"/>
        <v>0</v>
      </c>
      <c r="AE133" s="163">
        <f t="shared" si="248"/>
        <v>0</v>
      </c>
      <c r="AF133" s="163">
        <f t="shared" si="249"/>
        <v>0</v>
      </c>
      <c r="AG133" s="163">
        <f t="shared" si="250"/>
        <v>0</v>
      </c>
      <c r="AH133" s="163">
        <f t="shared" si="251"/>
        <v>0</v>
      </c>
      <c r="AJ133" s="162" t="str">
        <f t="shared" ca="1" si="252"/>
        <v>apr</v>
      </c>
      <c r="AK133" s="164">
        <f t="shared" si="253"/>
        <v>0</v>
      </c>
      <c r="AL133" s="164">
        <f t="shared" ref="AL133:AU133" si="257">IF($J$129=AL$127,IF($J$130=AL$128,IF($J$131=AL$129,$I137,0),0),0)+IF($M$129=AL$127,IF($M$130=AL$128,IF($M$131=AL$129,$L137,0),0),0)+IF($P$129=AL$127,IF($P$130=AL$128,IF($P$131=AL$129,$O137,0),0),0)+IF($S$129=AL$127,IF($S$130=AL$128,IF($S$131=AL$129,$R137,0),0),0)+IF($V$129=AL$127,IF($V$130=AL$128,IF($V$131=AL$129,$U137,0),0),0)</f>
        <v>0</v>
      </c>
      <c r="AM133" s="164">
        <f t="shared" si="257"/>
        <v>0</v>
      </c>
      <c r="AN133" s="164">
        <f t="shared" si="257"/>
        <v>0</v>
      </c>
      <c r="AO133" s="164">
        <f t="shared" si="257"/>
        <v>0</v>
      </c>
      <c r="AP133" s="164">
        <f t="shared" si="257"/>
        <v>0</v>
      </c>
      <c r="AQ133" s="164">
        <f t="shared" si="257"/>
        <v>0</v>
      </c>
      <c r="AR133" s="164">
        <f t="shared" si="257"/>
        <v>0</v>
      </c>
      <c r="AS133" s="164">
        <f t="shared" si="257"/>
        <v>0</v>
      </c>
      <c r="AT133" s="164">
        <f t="shared" si="257"/>
        <v>0</v>
      </c>
      <c r="AU133" s="164">
        <f t="shared" si="257"/>
        <v>0</v>
      </c>
      <c r="AV133" s="175"/>
      <c r="AW133" s="175"/>
      <c r="AX133" s="175"/>
      <c r="BT133" s="27"/>
      <c r="BU133" s="27"/>
      <c r="BV133" s="27"/>
      <c r="BW133" s="27"/>
      <c r="BX133" s="27"/>
      <c r="BY133" s="27"/>
    </row>
    <row r="134" spans="3:77" ht="16.5" customHeight="1" x14ac:dyDescent="0.25">
      <c r="E134" s="20"/>
      <c r="F134" s="249">
        <f>G129</f>
        <v>2021</v>
      </c>
      <c r="G134" s="249" t="str">
        <f t="shared" ref="G134:G145" ca="1" si="258">OFFSET($EI$2,$EI$46+ROW(F134)-ROW($F$134),0)</f>
        <v>jan</v>
      </c>
      <c r="H134" s="3"/>
      <c r="I134" s="41">
        <f t="shared" ref="I134:I145" si="259">IF($D$129&gt;0,J134,0)</f>
        <v>0</v>
      </c>
      <c r="J134" s="259"/>
      <c r="L134" s="41">
        <f t="shared" ref="L134:L145" si="260">IF($D$129&gt;1,M134,0)</f>
        <v>0</v>
      </c>
      <c r="M134" s="259"/>
      <c r="O134" s="41">
        <f t="shared" ref="O134:O145" si="261">IF($D$129&gt;2,P134,0)</f>
        <v>0</v>
      </c>
      <c r="P134" s="259"/>
      <c r="R134" s="41">
        <f t="shared" ref="R134:R145" si="262">IF($D$129&gt;3,S134,0)</f>
        <v>0</v>
      </c>
      <c r="S134" s="259"/>
      <c r="U134" s="41">
        <f t="shared" ref="U134:U145" si="263">IF($D$129&gt;4,V134,0)</f>
        <v>0</v>
      </c>
      <c r="V134" s="259"/>
      <c r="Y134" s="164">
        <f t="shared" si="242"/>
        <v>0</v>
      </c>
      <c r="Z134" s="164">
        <f t="shared" si="243"/>
        <v>0</v>
      </c>
      <c r="AA134" s="164">
        <f t="shared" si="244"/>
        <v>0</v>
      </c>
      <c r="AB134" s="164">
        <f t="shared" si="245"/>
        <v>0</v>
      </c>
      <c r="AC134" s="163">
        <f t="shared" si="246"/>
        <v>0</v>
      </c>
      <c r="AD134" s="163">
        <f t="shared" si="247"/>
        <v>0</v>
      </c>
      <c r="AE134" s="163">
        <f t="shared" si="248"/>
        <v>0</v>
      </c>
      <c r="AF134" s="163">
        <f t="shared" si="249"/>
        <v>0</v>
      </c>
      <c r="AG134" s="163">
        <f t="shared" si="250"/>
        <v>0</v>
      </c>
      <c r="AH134" s="163">
        <f t="shared" si="251"/>
        <v>0</v>
      </c>
      <c r="AJ134" s="162" t="str">
        <f t="shared" ca="1" si="252"/>
        <v>maj</v>
      </c>
      <c r="AK134" s="164">
        <f t="shared" si="253"/>
        <v>0</v>
      </c>
      <c r="AL134" s="164">
        <f t="shared" ref="AL134:AU134" si="264">IF($J$129=AL$127,IF($J$130=AL$128,IF($J$131=AL$129,$I138,0),0),0)+IF($M$129=AL$127,IF($M$130=AL$128,IF($M$131=AL$129,$L138,0),0),0)+IF($P$129=AL$127,IF($P$130=AL$128,IF($P$131=AL$129,$O138,0),0),0)+IF($S$129=AL$127,IF($S$130=AL$128,IF($S$131=AL$129,$R138,0),0),0)+IF($V$129=AL$127,IF($V$130=AL$128,IF($V$131=AL$129,$U138,0),0),0)</f>
        <v>0</v>
      </c>
      <c r="AM134" s="164">
        <f t="shared" si="264"/>
        <v>0</v>
      </c>
      <c r="AN134" s="164">
        <f t="shared" si="264"/>
        <v>0</v>
      </c>
      <c r="AO134" s="164">
        <f t="shared" si="264"/>
        <v>0</v>
      </c>
      <c r="AP134" s="164">
        <f t="shared" si="264"/>
        <v>0</v>
      </c>
      <c r="AQ134" s="164">
        <f t="shared" si="264"/>
        <v>0</v>
      </c>
      <c r="AR134" s="164">
        <f t="shared" si="264"/>
        <v>0</v>
      </c>
      <c r="AS134" s="164">
        <f t="shared" si="264"/>
        <v>0</v>
      </c>
      <c r="AT134" s="164">
        <f t="shared" si="264"/>
        <v>0</v>
      </c>
      <c r="AU134" s="164">
        <f t="shared" si="264"/>
        <v>0</v>
      </c>
      <c r="AV134" s="175"/>
      <c r="AW134" s="175"/>
      <c r="AX134" s="175"/>
      <c r="BT134" s="27"/>
      <c r="BU134" s="27"/>
      <c r="BV134" s="27"/>
      <c r="BW134" s="27"/>
      <c r="BX134" s="27"/>
      <c r="BY134" s="27"/>
    </row>
    <row r="135" spans="3:77" ht="16.5" customHeight="1" x14ac:dyDescent="0.25">
      <c r="F135" s="249">
        <f ca="1">IF(G135="jan",F134+1,F134)</f>
        <v>2021</v>
      </c>
      <c r="G135" s="249" t="str">
        <f t="shared" ca="1" si="258"/>
        <v>feb</v>
      </c>
      <c r="H135" s="3"/>
      <c r="I135" s="41">
        <f t="shared" si="259"/>
        <v>0</v>
      </c>
      <c r="J135" s="259"/>
      <c r="L135" s="41">
        <f t="shared" si="260"/>
        <v>0</v>
      </c>
      <c r="M135" s="259"/>
      <c r="O135" s="41">
        <f t="shared" si="261"/>
        <v>0</v>
      </c>
      <c r="P135" s="259"/>
      <c r="R135" s="41">
        <f t="shared" si="262"/>
        <v>0</v>
      </c>
      <c r="S135" s="259"/>
      <c r="U135" s="41">
        <f t="shared" si="263"/>
        <v>0</v>
      </c>
      <c r="V135" s="259"/>
      <c r="Y135" s="164">
        <f t="shared" si="242"/>
        <v>0</v>
      </c>
      <c r="Z135" s="164">
        <f t="shared" si="243"/>
        <v>0</v>
      </c>
      <c r="AA135" s="164">
        <f t="shared" si="244"/>
        <v>0</v>
      </c>
      <c r="AB135" s="164">
        <f t="shared" si="245"/>
        <v>0</v>
      </c>
      <c r="AC135" s="163">
        <f t="shared" si="246"/>
        <v>0</v>
      </c>
      <c r="AD135" s="163">
        <f t="shared" si="247"/>
        <v>0</v>
      </c>
      <c r="AE135" s="163">
        <f t="shared" si="248"/>
        <v>0</v>
      </c>
      <c r="AF135" s="163">
        <f t="shared" si="249"/>
        <v>0</v>
      </c>
      <c r="AG135" s="163">
        <f t="shared" si="250"/>
        <v>0</v>
      </c>
      <c r="AH135" s="163">
        <f t="shared" si="251"/>
        <v>0</v>
      </c>
      <c r="AJ135" s="162" t="str">
        <f t="shared" ca="1" si="252"/>
        <v xml:space="preserve">jun </v>
      </c>
      <c r="AK135" s="164">
        <f t="shared" si="253"/>
        <v>0</v>
      </c>
      <c r="AL135" s="164">
        <f t="shared" ref="AL135:AU135" si="265">IF($J$129=AL$127,IF($J$130=AL$128,IF($J$131=AL$129,$I139,0),0),0)+IF($M$129=AL$127,IF($M$130=AL$128,IF($M$131=AL$129,$L139,0),0),0)+IF($P$129=AL$127,IF($P$130=AL$128,IF($P$131=AL$129,$O139,0),0),0)+IF($S$129=AL$127,IF($S$130=AL$128,IF($S$131=AL$129,$R139,0),0),0)+IF($V$129=AL$127,IF($V$130=AL$128,IF($V$131=AL$129,$U139,0),0),0)</f>
        <v>0</v>
      </c>
      <c r="AM135" s="164">
        <f t="shared" si="265"/>
        <v>0</v>
      </c>
      <c r="AN135" s="164">
        <f t="shared" si="265"/>
        <v>0</v>
      </c>
      <c r="AO135" s="164">
        <f t="shared" si="265"/>
        <v>0</v>
      </c>
      <c r="AP135" s="164">
        <f t="shared" si="265"/>
        <v>0</v>
      </c>
      <c r="AQ135" s="164">
        <f t="shared" si="265"/>
        <v>0</v>
      </c>
      <c r="AR135" s="164">
        <f t="shared" si="265"/>
        <v>0</v>
      </c>
      <c r="AS135" s="164">
        <f t="shared" si="265"/>
        <v>0</v>
      </c>
      <c r="AT135" s="164">
        <f t="shared" si="265"/>
        <v>0</v>
      </c>
      <c r="AU135" s="164">
        <f t="shared" si="265"/>
        <v>0</v>
      </c>
      <c r="AV135" s="175"/>
      <c r="AW135" s="175"/>
      <c r="AX135" s="175"/>
      <c r="BT135" s="27"/>
      <c r="BU135" s="27"/>
      <c r="BV135" s="27"/>
      <c r="BW135" s="27"/>
      <c r="BX135" s="27"/>
      <c r="BY135" s="27"/>
    </row>
    <row r="136" spans="3:77" ht="16.5" customHeight="1" x14ac:dyDescent="0.25">
      <c r="F136" s="249">
        <f t="shared" ref="F136:F145" ca="1" si="266">IF(G136="jan",F135+1,F135)</f>
        <v>2021</v>
      </c>
      <c r="G136" s="249" t="str">
        <f t="shared" ca="1" si="258"/>
        <v>mars</v>
      </c>
      <c r="H136" s="3"/>
      <c r="I136" s="41">
        <f t="shared" si="259"/>
        <v>0</v>
      </c>
      <c r="J136" s="259"/>
      <c r="L136" s="41">
        <f t="shared" si="260"/>
        <v>0</v>
      </c>
      <c r="M136" s="259"/>
      <c r="O136" s="41">
        <f t="shared" si="261"/>
        <v>0</v>
      </c>
      <c r="P136" s="259"/>
      <c r="R136" s="41">
        <f t="shared" si="262"/>
        <v>0</v>
      </c>
      <c r="S136" s="259"/>
      <c r="U136" s="41">
        <f t="shared" si="263"/>
        <v>0</v>
      </c>
      <c r="V136" s="259"/>
      <c r="Y136" s="164">
        <f t="shared" si="242"/>
        <v>0</v>
      </c>
      <c r="Z136" s="164">
        <f t="shared" si="243"/>
        <v>0</v>
      </c>
      <c r="AA136" s="164">
        <f t="shared" si="244"/>
        <v>0</v>
      </c>
      <c r="AB136" s="164">
        <f t="shared" si="245"/>
        <v>0</v>
      </c>
      <c r="AC136" s="163">
        <f t="shared" si="246"/>
        <v>0</v>
      </c>
      <c r="AD136" s="163">
        <f t="shared" si="247"/>
        <v>0</v>
      </c>
      <c r="AE136" s="163">
        <f t="shared" si="248"/>
        <v>0</v>
      </c>
      <c r="AF136" s="163">
        <f t="shared" si="249"/>
        <v>0</v>
      </c>
      <c r="AG136" s="163">
        <f t="shared" si="250"/>
        <v>0</v>
      </c>
      <c r="AH136" s="163">
        <f t="shared" si="251"/>
        <v>0</v>
      </c>
      <c r="AJ136" s="162" t="str">
        <f t="shared" ca="1" si="252"/>
        <v>jul</v>
      </c>
      <c r="AK136" s="164">
        <f t="shared" si="253"/>
        <v>0</v>
      </c>
      <c r="AL136" s="164">
        <f t="shared" ref="AL136:AU136" si="267">IF($J$129=AL$127,IF($J$130=AL$128,IF($J$131=AL$129,$I140,0),0),0)+IF($M$129=AL$127,IF($M$130=AL$128,IF($M$131=AL$129,$L140,0),0),0)+IF($P$129=AL$127,IF($P$130=AL$128,IF($P$131=AL$129,$O140,0),0),0)+IF($S$129=AL$127,IF($S$130=AL$128,IF($S$131=AL$129,$R140,0),0),0)+IF($V$129=AL$127,IF($V$130=AL$128,IF($V$131=AL$129,$U140,0),0),0)</f>
        <v>0</v>
      </c>
      <c r="AM136" s="164">
        <f t="shared" si="267"/>
        <v>0</v>
      </c>
      <c r="AN136" s="164">
        <f t="shared" si="267"/>
        <v>0</v>
      </c>
      <c r="AO136" s="164">
        <f t="shared" si="267"/>
        <v>0</v>
      </c>
      <c r="AP136" s="164">
        <f t="shared" si="267"/>
        <v>0</v>
      </c>
      <c r="AQ136" s="164">
        <f t="shared" si="267"/>
        <v>0</v>
      </c>
      <c r="AR136" s="164">
        <f t="shared" si="267"/>
        <v>0</v>
      </c>
      <c r="AS136" s="164">
        <f t="shared" si="267"/>
        <v>0</v>
      </c>
      <c r="AT136" s="164">
        <f t="shared" si="267"/>
        <v>0</v>
      </c>
      <c r="AU136" s="164">
        <f t="shared" si="267"/>
        <v>0</v>
      </c>
      <c r="AV136" s="175"/>
      <c r="AW136" s="175"/>
      <c r="AX136" s="175"/>
      <c r="BT136" s="27"/>
      <c r="BU136" s="27"/>
      <c r="BV136" s="27"/>
      <c r="BW136" s="27"/>
      <c r="BX136" s="27"/>
      <c r="BY136" s="27"/>
    </row>
    <row r="137" spans="3:77" ht="16.5" customHeight="1" x14ac:dyDescent="0.25">
      <c r="F137" s="249">
        <f t="shared" ca="1" si="266"/>
        <v>2021</v>
      </c>
      <c r="G137" s="249" t="str">
        <f t="shared" ca="1" si="258"/>
        <v>apr</v>
      </c>
      <c r="H137" s="3"/>
      <c r="I137" s="41">
        <f t="shared" si="259"/>
        <v>0</v>
      </c>
      <c r="J137" s="259"/>
      <c r="L137" s="41">
        <f t="shared" si="260"/>
        <v>0</v>
      </c>
      <c r="M137" s="259"/>
      <c r="O137" s="41">
        <f t="shared" si="261"/>
        <v>0</v>
      </c>
      <c r="P137" s="259"/>
      <c r="R137" s="41">
        <f t="shared" si="262"/>
        <v>0</v>
      </c>
      <c r="S137" s="259"/>
      <c r="U137" s="41">
        <f t="shared" si="263"/>
        <v>0</v>
      </c>
      <c r="V137" s="259"/>
      <c r="Y137" s="164">
        <f t="shared" si="242"/>
        <v>0</v>
      </c>
      <c r="Z137" s="164">
        <f t="shared" si="243"/>
        <v>0</v>
      </c>
      <c r="AA137" s="164">
        <f t="shared" si="244"/>
        <v>0</v>
      </c>
      <c r="AB137" s="164">
        <f t="shared" si="245"/>
        <v>0</v>
      </c>
      <c r="AC137" s="163">
        <f t="shared" si="246"/>
        <v>0</v>
      </c>
      <c r="AD137" s="163">
        <f t="shared" si="247"/>
        <v>0</v>
      </c>
      <c r="AE137" s="163">
        <f t="shared" si="248"/>
        <v>0</v>
      </c>
      <c r="AF137" s="163">
        <f t="shared" si="249"/>
        <v>0</v>
      </c>
      <c r="AG137" s="163">
        <f t="shared" si="250"/>
        <v>0</v>
      </c>
      <c r="AH137" s="163">
        <f t="shared" si="251"/>
        <v>0</v>
      </c>
      <c r="AJ137" s="162" t="str">
        <f t="shared" ca="1" si="252"/>
        <v>aug</v>
      </c>
      <c r="AK137" s="164">
        <f t="shared" si="253"/>
        <v>0</v>
      </c>
      <c r="AL137" s="164">
        <f t="shared" ref="AL137:AU137" si="268">IF($J$129=AL$127,IF($J$130=AL$128,IF($J$131=AL$129,$I141,0),0),0)+IF($M$129=AL$127,IF($M$130=AL$128,IF($M$131=AL$129,$L141,0),0),0)+IF($P$129=AL$127,IF($P$130=AL$128,IF($P$131=AL$129,$O141,0),0),0)+IF($S$129=AL$127,IF($S$130=AL$128,IF($S$131=AL$129,$R141,0),0),0)+IF($V$129=AL$127,IF($V$130=AL$128,IF($V$131=AL$129,$U141,0),0),0)</f>
        <v>0</v>
      </c>
      <c r="AM137" s="164">
        <f t="shared" si="268"/>
        <v>0</v>
      </c>
      <c r="AN137" s="164">
        <f t="shared" si="268"/>
        <v>0</v>
      </c>
      <c r="AO137" s="164">
        <f t="shared" si="268"/>
        <v>0</v>
      </c>
      <c r="AP137" s="164">
        <f t="shared" si="268"/>
        <v>0</v>
      </c>
      <c r="AQ137" s="164">
        <f t="shared" si="268"/>
        <v>0</v>
      </c>
      <c r="AR137" s="164">
        <f t="shared" si="268"/>
        <v>0</v>
      </c>
      <c r="AS137" s="164">
        <f t="shared" si="268"/>
        <v>0</v>
      </c>
      <c r="AT137" s="164">
        <f t="shared" si="268"/>
        <v>0</v>
      </c>
      <c r="AU137" s="164">
        <f t="shared" si="268"/>
        <v>0</v>
      </c>
      <c r="AV137" s="175"/>
      <c r="AW137" s="175"/>
      <c r="AX137" s="175"/>
      <c r="BT137" s="27"/>
      <c r="BU137" s="27"/>
      <c r="BV137" s="27"/>
      <c r="BW137" s="27"/>
      <c r="BX137" s="27"/>
      <c r="BY137" s="27"/>
    </row>
    <row r="138" spans="3:77" ht="16.5" customHeight="1" x14ac:dyDescent="0.25">
      <c r="F138" s="249">
        <f t="shared" ca="1" si="266"/>
        <v>2021</v>
      </c>
      <c r="G138" s="249" t="str">
        <f t="shared" ca="1" si="258"/>
        <v>maj</v>
      </c>
      <c r="H138" s="3"/>
      <c r="I138" s="41">
        <f t="shared" si="259"/>
        <v>0</v>
      </c>
      <c r="J138" s="259"/>
      <c r="L138" s="41">
        <f t="shared" si="260"/>
        <v>0</v>
      </c>
      <c r="M138" s="259"/>
      <c r="O138" s="41">
        <f t="shared" si="261"/>
        <v>0</v>
      </c>
      <c r="P138" s="259"/>
      <c r="R138" s="41">
        <f t="shared" si="262"/>
        <v>0</v>
      </c>
      <c r="S138" s="259"/>
      <c r="U138" s="41">
        <f t="shared" si="263"/>
        <v>0</v>
      </c>
      <c r="V138" s="259"/>
      <c r="Y138" s="164">
        <f t="shared" si="242"/>
        <v>0</v>
      </c>
      <c r="Z138" s="164">
        <f t="shared" si="243"/>
        <v>0</v>
      </c>
      <c r="AA138" s="164">
        <f t="shared" si="244"/>
        <v>0</v>
      </c>
      <c r="AB138" s="164">
        <f t="shared" si="245"/>
        <v>0</v>
      </c>
      <c r="AC138" s="163">
        <f t="shared" si="246"/>
        <v>0</v>
      </c>
      <c r="AD138" s="163">
        <f t="shared" si="247"/>
        <v>0</v>
      </c>
      <c r="AE138" s="163">
        <f t="shared" si="248"/>
        <v>0</v>
      </c>
      <c r="AF138" s="163">
        <f t="shared" si="249"/>
        <v>0</v>
      </c>
      <c r="AG138" s="163">
        <f t="shared" si="250"/>
        <v>0</v>
      </c>
      <c r="AH138" s="163">
        <f t="shared" si="251"/>
        <v>0</v>
      </c>
      <c r="AJ138" s="162" t="str">
        <f t="shared" ca="1" si="252"/>
        <v>sept</v>
      </c>
      <c r="AK138" s="164">
        <f t="shared" si="253"/>
        <v>0</v>
      </c>
      <c r="AL138" s="164">
        <f t="shared" ref="AL138:AU138" si="269">IF($J$129=AL$127,IF($J$130=AL$128,IF($J$131=AL$129,$I142,0),0),0)+IF($M$129=AL$127,IF($M$130=AL$128,IF($M$131=AL$129,$L142,0),0),0)+IF($P$129=AL$127,IF($P$130=AL$128,IF($P$131=AL$129,$O142,0),0),0)+IF($S$129=AL$127,IF($S$130=AL$128,IF($S$131=AL$129,$R142,0),0),0)+IF($V$129=AL$127,IF($V$130=AL$128,IF($V$131=AL$129,$U142,0),0),0)</f>
        <v>0</v>
      </c>
      <c r="AM138" s="164">
        <f t="shared" si="269"/>
        <v>0</v>
      </c>
      <c r="AN138" s="164">
        <f t="shared" si="269"/>
        <v>0</v>
      </c>
      <c r="AO138" s="164">
        <f t="shared" si="269"/>
        <v>0</v>
      </c>
      <c r="AP138" s="164">
        <f t="shared" si="269"/>
        <v>0</v>
      </c>
      <c r="AQ138" s="164">
        <f t="shared" si="269"/>
        <v>0</v>
      </c>
      <c r="AR138" s="164">
        <f t="shared" si="269"/>
        <v>0</v>
      </c>
      <c r="AS138" s="164">
        <f t="shared" si="269"/>
        <v>0</v>
      </c>
      <c r="AT138" s="164">
        <f t="shared" si="269"/>
        <v>0</v>
      </c>
      <c r="AU138" s="164">
        <f t="shared" si="269"/>
        <v>0</v>
      </c>
      <c r="AV138" s="175"/>
      <c r="AW138" s="175"/>
      <c r="AX138" s="175"/>
      <c r="BT138" s="27"/>
      <c r="BU138" s="27"/>
      <c r="BV138" s="27"/>
      <c r="BW138" s="27"/>
      <c r="BX138" s="27"/>
      <c r="BY138" s="27"/>
    </row>
    <row r="139" spans="3:77" ht="16.5" customHeight="1" x14ac:dyDescent="0.25">
      <c r="F139" s="249">
        <f t="shared" ca="1" si="266"/>
        <v>2021</v>
      </c>
      <c r="G139" s="249" t="str">
        <f t="shared" ca="1" si="258"/>
        <v xml:space="preserve">jun </v>
      </c>
      <c r="H139" s="3"/>
      <c r="I139" s="41">
        <f t="shared" si="259"/>
        <v>0</v>
      </c>
      <c r="J139" s="259"/>
      <c r="L139" s="41">
        <f t="shared" si="260"/>
        <v>0</v>
      </c>
      <c r="M139" s="259"/>
      <c r="O139" s="41">
        <f t="shared" si="261"/>
        <v>0</v>
      </c>
      <c r="P139" s="259"/>
      <c r="R139" s="41">
        <f t="shared" si="262"/>
        <v>0</v>
      </c>
      <c r="S139" s="259"/>
      <c r="U139" s="41">
        <f t="shared" si="263"/>
        <v>0</v>
      </c>
      <c r="V139" s="259"/>
      <c r="Y139" s="164">
        <f t="shared" si="242"/>
        <v>0</v>
      </c>
      <c r="Z139" s="164">
        <f t="shared" si="243"/>
        <v>0</v>
      </c>
      <c r="AA139" s="164">
        <f t="shared" si="244"/>
        <v>0</v>
      </c>
      <c r="AB139" s="164">
        <f t="shared" si="245"/>
        <v>0</v>
      </c>
      <c r="AC139" s="163">
        <f t="shared" si="246"/>
        <v>0</v>
      </c>
      <c r="AD139" s="163">
        <f t="shared" si="247"/>
        <v>0</v>
      </c>
      <c r="AE139" s="163">
        <f t="shared" si="248"/>
        <v>0</v>
      </c>
      <c r="AF139" s="163">
        <f t="shared" si="249"/>
        <v>0</v>
      </c>
      <c r="AG139" s="163">
        <f t="shared" si="250"/>
        <v>0</v>
      </c>
      <c r="AH139" s="163">
        <f t="shared" si="251"/>
        <v>0</v>
      </c>
      <c r="AJ139" s="162" t="str">
        <f t="shared" ca="1" si="252"/>
        <v>okt</v>
      </c>
      <c r="AK139" s="164">
        <f t="shared" si="253"/>
        <v>0</v>
      </c>
      <c r="AL139" s="164">
        <f t="shared" ref="AL139:AU139" si="270">IF($J$129=AL$127,IF($J$130=AL$128,IF($J$131=AL$129,$I143,0),0),0)+IF($M$129=AL$127,IF($M$130=AL$128,IF($M$131=AL$129,$L143,0),0),0)+IF($P$129=AL$127,IF($P$130=AL$128,IF($P$131=AL$129,$O143,0),0),0)+IF($S$129=AL$127,IF($S$130=AL$128,IF($S$131=AL$129,$R143,0),0),0)+IF($V$129=AL$127,IF($V$130=AL$128,IF($V$131=AL$129,$U143,0),0),0)</f>
        <v>0</v>
      </c>
      <c r="AM139" s="164">
        <f t="shared" si="270"/>
        <v>0</v>
      </c>
      <c r="AN139" s="164">
        <f t="shared" si="270"/>
        <v>0</v>
      </c>
      <c r="AO139" s="164">
        <f t="shared" si="270"/>
        <v>0</v>
      </c>
      <c r="AP139" s="164">
        <f t="shared" si="270"/>
        <v>0</v>
      </c>
      <c r="AQ139" s="164">
        <f t="shared" si="270"/>
        <v>0</v>
      </c>
      <c r="AR139" s="164">
        <f t="shared" si="270"/>
        <v>0</v>
      </c>
      <c r="AS139" s="164">
        <f t="shared" si="270"/>
        <v>0</v>
      </c>
      <c r="AT139" s="164">
        <f t="shared" si="270"/>
        <v>0</v>
      </c>
      <c r="AU139" s="164">
        <f t="shared" si="270"/>
        <v>0</v>
      </c>
      <c r="AV139" s="175"/>
      <c r="AW139" s="175"/>
      <c r="AX139" s="175"/>
      <c r="BT139" s="27"/>
      <c r="BU139" s="27"/>
      <c r="BV139" s="27"/>
      <c r="BW139" s="27"/>
      <c r="BX139" s="27"/>
      <c r="BY139" s="27"/>
    </row>
    <row r="140" spans="3:77" ht="16.5" customHeight="1" x14ac:dyDescent="0.25">
      <c r="F140" s="249">
        <f t="shared" ca="1" si="266"/>
        <v>2021</v>
      </c>
      <c r="G140" s="249" t="str">
        <f t="shared" ca="1" si="258"/>
        <v>jul</v>
      </c>
      <c r="H140" s="3"/>
      <c r="I140" s="41">
        <f t="shared" si="259"/>
        <v>0</v>
      </c>
      <c r="J140" s="259"/>
      <c r="L140" s="41">
        <f t="shared" si="260"/>
        <v>0</v>
      </c>
      <c r="M140" s="259"/>
      <c r="O140" s="41">
        <f t="shared" si="261"/>
        <v>0</v>
      </c>
      <c r="P140" s="259"/>
      <c r="R140" s="41">
        <f t="shared" si="262"/>
        <v>0</v>
      </c>
      <c r="S140" s="259"/>
      <c r="U140" s="41">
        <f t="shared" si="263"/>
        <v>0</v>
      </c>
      <c r="V140" s="259"/>
      <c r="Y140" s="164">
        <f t="shared" si="242"/>
        <v>0</v>
      </c>
      <c r="Z140" s="164">
        <f t="shared" si="243"/>
        <v>0</v>
      </c>
      <c r="AA140" s="164">
        <f t="shared" si="244"/>
        <v>0</v>
      </c>
      <c r="AB140" s="164">
        <f t="shared" si="245"/>
        <v>0</v>
      </c>
      <c r="AC140" s="163">
        <f t="shared" si="246"/>
        <v>0</v>
      </c>
      <c r="AD140" s="163">
        <f t="shared" si="247"/>
        <v>0</v>
      </c>
      <c r="AE140" s="163">
        <f t="shared" si="248"/>
        <v>0</v>
      </c>
      <c r="AF140" s="163">
        <f t="shared" si="249"/>
        <v>0</v>
      </c>
      <c r="AG140" s="163">
        <f t="shared" si="250"/>
        <v>0</v>
      </c>
      <c r="AH140" s="163">
        <f t="shared" si="251"/>
        <v>0</v>
      </c>
      <c r="AJ140" s="162" t="str">
        <f t="shared" ca="1" si="252"/>
        <v>nov</v>
      </c>
      <c r="AK140" s="164">
        <f t="shared" si="253"/>
        <v>0</v>
      </c>
      <c r="AL140" s="164">
        <f t="shared" ref="AL140:AU140" si="271">IF($J$129=AL$127,IF($J$130=AL$128,IF($J$131=AL$129,$I144,0),0),0)+IF($M$129=AL$127,IF($M$130=AL$128,IF($M$131=AL$129,$L144,0),0),0)+IF($P$129=AL$127,IF($P$130=AL$128,IF($P$131=AL$129,$O144,0),0),0)+IF($S$129=AL$127,IF($S$130=AL$128,IF($S$131=AL$129,$R144,0),0),0)+IF($V$129=AL$127,IF($V$130=AL$128,IF($V$131=AL$129,$U144,0),0),0)</f>
        <v>0</v>
      </c>
      <c r="AM140" s="164">
        <f t="shared" si="271"/>
        <v>0</v>
      </c>
      <c r="AN140" s="164">
        <f t="shared" si="271"/>
        <v>0</v>
      </c>
      <c r="AO140" s="164">
        <f t="shared" si="271"/>
        <v>0</v>
      </c>
      <c r="AP140" s="164">
        <f t="shared" si="271"/>
        <v>0</v>
      </c>
      <c r="AQ140" s="164">
        <f t="shared" si="271"/>
        <v>0</v>
      </c>
      <c r="AR140" s="164">
        <f t="shared" si="271"/>
        <v>0</v>
      </c>
      <c r="AS140" s="164">
        <f t="shared" si="271"/>
        <v>0</v>
      </c>
      <c r="AT140" s="164">
        <f t="shared" si="271"/>
        <v>0</v>
      </c>
      <c r="AU140" s="164">
        <f t="shared" si="271"/>
        <v>0</v>
      </c>
      <c r="AV140" s="175"/>
      <c r="AW140" s="175"/>
      <c r="AX140" s="175"/>
      <c r="BT140" s="27"/>
      <c r="BU140" s="27"/>
      <c r="BV140" s="27"/>
      <c r="BW140" s="27"/>
      <c r="BX140" s="27"/>
      <c r="BY140" s="27"/>
    </row>
    <row r="141" spans="3:77" ht="16.5" customHeight="1" thickBot="1" x14ac:dyDescent="0.3">
      <c r="F141" s="249">
        <f t="shared" ca="1" si="266"/>
        <v>2021</v>
      </c>
      <c r="G141" s="249" t="str">
        <f t="shared" ca="1" si="258"/>
        <v>aug</v>
      </c>
      <c r="H141" s="3"/>
      <c r="I141" s="41">
        <f t="shared" si="259"/>
        <v>0</v>
      </c>
      <c r="J141" s="259"/>
      <c r="L141" s="41">
        <f t="shared" si="260"/>
        <v>0</v>
      </c>
      <c r="M141" s="259"/>
      <c r="O141" s="41">
        <f t="shared" si="261"/>
        <v>0</v>
      </c>
      <c r="P141" s="259"/>
      <c r="R141" s="41">
        <f t="shared" si="262"/>
        <v>0</v>
      </c>
      <c r="S141" s="259"/>
      <c r="U141" s="41">
        <f t="shared" si="263"/>
        <v>0</v>
      </c>
      <c r="V141" s="259"/>
      <c r="Y141" s="165">
        <f t="shared" si="242"/>
        <v>0</v>
      </c>
      <c r="Z141" s="165">
        <f t="shared" si="243"/>
        <v>0</v>
      </c>
      <c r="AA141" s="165">
        <f t="shared" si="244"/>
        <v>0</v>
      </c>
      <c r="AB141" s="165">
        <f t="shared" si="245"/>
        <v>0</v>
      </c>
      <c r="AC141" s="166">
        <f t="shared" si="246"/>
        <v>0</v>
      </c>
      <c r="AD141" s="166">
        <f t="shared" si="247"/>
        <v>0</v>
      </c>
      <c r="AE141" s="166">
        <f t="shared" si="248"/>
        <v>0</v>
      </c>
      <c r="AF141" s="166">
        <f t="shared" si="249"/>
        <v>0</v>
      </c>
      <c r="AG141" s="166">
        <f t="shared" si="250"/>
        <v>0</v>
      </c>
      <c r="AH141" s="166">
        <f t="shared" si="251"/>
        <v>0</v>
      </c>
      <c r="AJ141" s="162" t="str">
        <f t="shared" ca="1" si="252"/>
        <v>dec</v>
      </c>
      <c r="AK141" s="164">
        <f t="shared" si="253"/>
        <v>0</v>
      </c>
      <c r="AL141" s="164">
        <f t="shared" ref="AL141:AU141" si="272">IF($J$129=AL$127,IF($J$130=AL$128,IF($J$131=AL$129,$I145,0),0),0)+IF($M$129=AL$127,IF($M$130=AL$128,IF($M$131=AL$129,$L145,0),0),0)+IF($P$129=AL$127,IF($P$130=AL$128,IF($P$131=AL$129,$O145,0),0),0)+IF($S$129=AL$127,IF($S$130=AL$128,IF($S$131=AL$129,$R145,0),0),0)+IF($V$129=AL$127,IF($V$130=AL$128,IF($V$131=AL$129,$U145,0),0),0)</f>
        <v>0</v>
      </c>
      <c r="AM141" s="164">
        <f t="shared" si="272"/>
        <v>0</v>
      </c>
      <c r="AN141" s="164">
        <f t="shared" si="272"/>
        <v>0</v>
      </c>
      <c r="AO141" s="164">
        <f t="shared" si="272"/>
        <v>0</v>
      </c>
      <c r="AP141" s="164">
        <f t="shared" si="272"/>
        <v>0</v>
      </c>
      <c r="AQ141" s="164">
        <f t="shared" si="272"/>
        <v>0</v>
      </c>
      <c r="AR141" s="164">
        <f t="shared" si="272"/>
        <v>0</v>
      </c>
      <c r="AS141" s="164">
        <f t="shared" si="272"/>
        <v>0</v>
      </c>
      <c r="AT141" s="164">
        <f t="shared" si="272"/>
        <v>0</v>
      </c>
      <c r="AU141" s="164">
        <f t="shared" si="272"/>
        <v>0</v>
      </c>
      <c r="AV141" s="175"/>
      <c r="AW141" s="175"/>
      <c r="AX141" s="175"/>
      <c r="BT141" s="27"/>
      <c r="BU141" s="27"/>
      <c r="BV141" s="27"/>
      <c r="BW141" s="27"/>
      <c r="BX141" s="27"/>
      <c r="BY141" s="27"/>
    </row>
    <row r="142" spans="3:77" ht="16.5" customHeight="1" thickTop="1" x14ac:dyDescent="0.25">
      <c r="F142" s="249">
        <f t="shared" ca="1" si="266"/>
        <v>2021</v>
      </c>
      <c r="G142" s="249" t="str">
        <f t="shared" ca="1" si="258"/>
        <v>sept</v>
      </c>
      <c r="H142" s="3"/>
      <c r="I142" s="41">
        <f t="shared" si="259"/>
        <v>0</v>
      </c>
      <c r="J142" s="259"/>
      <c r="L142" s="41">
        <f t="shared" si="260"/>
        <v>0</v>
      </c>
      <c r="M142" s="259"/>
      <c r="O142" s="41">
        <f t="shared" si="261"/>
        <v>0</v>
      </c>
      <c r="P142" s="259"/>
      <c r="R142" s="41">
        <f t="shared" si="262"/>
        <v>0</v>
      </c>
      <c r="S142" s="259"/>
      <c r="U142" s="41">
        <f t="shared" si="263"/>
        <v>0</v>
      </c>
      <c r="V142" s="259"/>
      <c r="X142" s="110" t="s">
        <v>1098</v>
      </c>
      <c r="Y142" s="167">
        <f t="shared" ref="Y142:AD142" si="273">SUM(Y130:Y141)</f>
        <v>0</v>
      </c>
      <c r="Z142" s="167">
        <f t="shared" si="273"/>
        <v>0</v>
      </c>
      <c r="AA142" s="167">
        <f t="shared" si="273"/>
        <v>0</v>
      </c>
      <c r="AB142" s="167">
        <f t="shared" si="273"/>
        <v>0</v>
      </c>
      <c r="AC142" s="167">
        <f t="shared" si="273"/>
        <v>0</v>
      </c>
      <c r="AD142" s="167">
        <f t="shared" si="273"/>
        <v>0</v>
      </c>
      <c r="AE142" s="167">
        <f>SUM(AE130:AE141)</f>
        <v>0</v>
      </c>
      <c r="AF142" s="167">
        <f>SUM(AF130:AF141)</f>
        <v>0</v>
      </c>
      <c r="AG142" s="167">
        <f>SUM(AG130:AG141)</f>
        <v>0</v>
      </c>
      <c r="AH142" s="167">
        <f>SUM(AH130:AH141)</f>
        <v>0</v>
      </c>
      <c r="BT142" s="27"/>
      <c r="BU142" s="27"/>
      <c r="BV142" s="27"/>
      <c r="BW142" s="27"/>
      <c r="BX142" s="27"/>
      <c r="BY142" s="27"/>
    </row>
    <row r="143" spans="3:77" ht="16.5" customHeight="1" x14ac:dyDescent="0.25">
      <c r="F143" s="249">
        <f t="shared" ca="1" si="266"/>
        <v>2021</v>
      </c>
      <c r="G143" s="249" t="str">
        <f t="shared" ca="1" si="258"/>
        <v>okt</v>
      </c>
      <c r="H143" s="3"/>
      <c r="I143" s="41">
        <f t="shared" si="259"/>
        <v>0</v>
      </c>
      <c r="J143" s="259"/>
      <c r="L143" s="41">
        <f t="shared" si="260"/>
        <v>0</v>
      </c>
      <c r="M143" s="259"/>
      <c r="O143" s="41">
        <f t="shared" si="261"/>
        <v>0</v>
      </c>
      <c r="P143" s="259"/>
      <c r="R143" s="41">
        <f t="shared" si="262"/>
        <v>0</v>
      </c>
      <c r="S143" s="259"/>
      <c r="U143" s="41">
        <f t="shared" si="263"/>
        <v>0</v>
      </c>
      <c r="V143" s="259"/>
      <c r="BB143" s="119"/>
      <c r="BT143" s="27"/>
      <c r="BU143" s="27"/>
      <c r="BV143" s="27"/>
      <c r="BW143" s="27"/>
      <c r="BX143" s="27"/>
      <c r="BY143" s="27"/>
    </row>
    <row r="144" spans="3:77" ht="16.5" customHeight="1" x14ac:dyDescent="0.25">
      <c r="F144" s="249">
        <f t="shared" ca="1" si="266"/>
        <v>2021</v>
      </c>
      <c r="G144" s="249" t="str">
        <f t="shared" ca="1" si="258"/>
        <v>nov</v>
      </c>
      <c r="H144" s="3"/>
      <c r="I144" s="41">
        <f t="shared" si="259"/>
        <v>0</v>
      </c>
      <c r="J144" s="259"/>
      <c r="L144" s="41">
        <f t="shared" si="260"/>
        <v>0</v>
      </c>
      <c r="M144" s="259"/>
      <c r="O144" s="41">
        <f t="shared" si="261"/>
        <v>0</v>
      </c>
      <c r="P144" s="259"/>
      <c r="R144" s="41">
        <f t="shared" si="262"/>
        <v>0</v>
      </c>
      <c r="S144" s="259"/>
      <c r="U144" s="41">
        <f t="shared" si="263"/>
        <v>0</v>
      </c>
      <c r="V144" s="259"/>
      <c r="Y144" s="86"/>
      <c r="AG144" s="174"/>
      <c r="AH144" s="174"/>
      <c r="AI144" s="174"/>
      <c r="AJ144" s="174"/>
      <c r="AK144" s="174"/>
      <c r="AL144" s="174"/>
      <c r="AM144" s="174"/>
      <c r="AN144" s="174"/>
      <c r="AO144" s="174"/>
      <c r="AP144" s="174"/>
      <c r="AQ144" s="174"/>
      <c r="AR144" s="174"/>
      <c r="AS144" s="174"/>
      <c r="AT144" s="174"/>
      <c r="AU144" s="174"/>
      <c r="AV144" s="174"/>
      <c r="AW144" s="174"/>
      <c r="AX144" s="174"/>
      <c r="BB144" s="21" t="s">
        <v>1161</v>
      </c>
      <c r="BT144" s="27"/>
      <c r="BU144" s="27"/>
      <c r="BV144" s="27"/>
      <c r="BW144" s="27"/>
      <c r="BX144" s="27"/>
      <c r="BY144" s="27"/>
    </row>
    <row r="145" spans="2:75" ht="16.5" customHeight="1" x14ac:dyDescent="0.25">
      <c r="F145" s="249">
        <f t="shared" ca="1" si="266"/>
        <v>2021</v>
      </c>
      <c r="G145" s="249" t="str">
        <f t="shared" ca="1" si="258"/>
        <v>dec</v>
      </c>
      <c r="H145" s="3"/>
      <c r="I145" s="41">
        <f t="shared" si="259"/>
        <v>0</v>
      </c>
      <c r="J145" s="259"/>
      <c r="L145" s="41">
        <f t="shared" si="260"/>
        <v>0</v>
      </c>
      <c r="M145" s="259"/>
      <c r="O145" s="41">
        <f t="shared" si="261"/>
        <v>0</v>
      </c>
      <c r="P145" s="259"/>
      <c r="R145" s="41">
        <f t="shared" si="262"/>
        <v>0</v>
      </c>
      <c r="S145" s="259"/>
      <c r="U145" s="41">
        <f t="shared" si="263"/>
        <v>0</v>
      </c>
      <c r="V145" s="259"/>
      <c r="Y145" s="86" t="s">
        <v>1160</v>
      </c>
      <c r="AD145" s="86" t="s">
        <v>1161</v>
      </c>
      <c r="AG145" s="174"/>
      <c r="AH145" s="174"/>
      <c r="AJ145" s="86" t="s">
        <v>1302</v>
      </c>
      <c r="AM145" s="174"/>
      <c r="AN145" s="174"/>
      <c r="AO145" s="174"/>
      <c r="AP145" s="174"/>
      <c r="AQ145" s="174"/>
      <c r="AR145" s="174"/>
      <c r="AS145" s="174"/>
      <c r="AT145" s="174"/>
      <c r="AU145" s="174"/>
      <c r="AV145" s="174"/>
      <c r="AW145" s="174"/>
      <c r="AX145" s="174"/>
      <c r="BB145" s="26" t="s">
        <v>1162</v>
      </c>
    </row>
    <row r="146" spans="2:75" ht="16.5" customHeight="1" x14ac:dyDescent="0.25">
      <c r="E146" s="20"/>
      <c r="I146" s="51">
        <f>SUM(I134:I145)</f>
        <v>0</v>
      </c>
      <c r="J146" s="51">
        <f>SUM(J134:J145)</f>
        <v>0</v>
      </c>
      <c r="L146" s="51">
        <f>SUM(L134:L145)</f>
        <v>0</v>
      </c>
      <c r="M146" s="51">
        <f>SUM(M134:M145)</f>
        <v>0</v>
      </c>
      <c r="O146" s="51">
        <f>SUM(O134:O145)</f>
        <v>0</v>
      </c>
      <c r="P146" s="51">
        <f>SUM(P134:P145)</f>
        <v>0</v>
      </c>
      <c r="R146" s="51">
        <f>SUM(R134:R145)</f>
        <v>0</v>
      </c>
      <c r="S146" s="51">
        <f>SUM(S134:S145)</f>
        <v>0</v>
      </c>
      <c r="U146" s="51">
        <f>SUM(U134:U145)</f>
        <v>0</v>
      </c>
      <c r="V146" s="51">
        <f>SUM(V134:V145)</f>
        <v>0</v>
      </c>
      <c r="Y146" s="84" t="s">
        <v>1284</v>
      </c>
      <c r="AD146" s="86"/>
      <c r="AG146" s="174"/>
      <c r="AH146" s="174"/>
      <c r="AJ146" s="86"/>
      <c r="AM146" s="174"/>
      <c r="AN146" s="174"/>
      <c r="AO146" s="174"/>
      <c r="AP146" s="174"/>
      <c r="AQ146" s="174"/>
      <c r="AR146" s="174"/>
      <c r="AS146" s="174"/>
      <c r="AT146" s="174"/>
      <c r="AU146" s="174"/>
      <c r="AV146" s="174"/>
      <c r="AW146" s="174"/>
      <c r="AX146" s="174"/>
      <c r="BA146" s="24" t="s">
        <v>1093</v>
      </c>
      <c r="BB146" s="32" t="str">
        <f>AD151</f>
        <v>El</v>
      </c>
      <c r="BC146" s="32" t="str">
        <f>AE151</f>
        <v>Fjärrvärme</v>
      </c>
      <c r="BD146" s="32" t="str">
        <f>AF151</f>
        <v>Gas</v>
      </c>
    </row>
    <row r="147" spans="2:75" ht="16.5" customHeight="1" x14ac:dyDescent="0.25">
      <c r="E147" s="20"/>
      <c r="F147" s="238" t="s">
        <v>1088</v>
      </c>
      <c r="G147" s="23" t="str">
        <f>IF(OR(AV19="Fel i indata",AV20="Fel i indata",AV21="Fel i indata",AV22="Fel i indata",AV23="Fel i indata",AV24="Fel i indata",AV25="Fel i indata",AV26="Fel i indata",AV27="Fel i indata",AV28="Fel i indata",AV29="Fel i indata",AV30="Fel i indata",AX19="Fel i indata",AX20="Fel i indata",AX21="Fel i indata",AX22="Fel i indata",AX23="Fel i indata",AX24="Fel i indata",AX25="Fel i indata",AX26="Fel i indata",AX27="Fel i indata",AX28="Fel i indata",AX29="Fel i indata",AX30="Fel i indata"),"Fel i indata","")</f>
        <v/>
      </c>
      <c r="I147" s="17" t="str">
        <f>IF(G147="Fel i indata","OBS! Se över din indata, energi för uppvärmning blir negativ efter avdrag för egenproducerad/återvunnen energi","")</f>
        <v/>
      </c>
      <c r="L147" s="51"/>
      <c r="M147" s="51"/>
      <c r="O147" s="51"/>
      <c r="P147" s="51"/>
      <c r="R147" s="51"/>
      <c r="S147" s="51"/>
      <c r="U147" s="51"/>
      <c r="V147" s="51"/>
      <c r="X147" s="110" t="s">
        <v>1093</v>
      </c>
      <c r="Y147" s="35" t="str">
        <f>IF($J$155=Y150,$J$154,"")</f>
        <v/>
      </c>
      <c r="Z147" s="35" t="str">
        <f>IF($M$155=Y150,$M$154,"")</f>
        <v/>
      </c>
      <c r="AA147" s="35" t="str">
        <f>IF($P$155=Y150,$P$154,"")</f>
        <v/>
      </c>
      <c r="AB147" s="110"/>
      <c r="AC147" s="110" t="s">
        <v>1093</v>
      </c>
      <c r="AD147" s="35" t="str">
        <f>IF($J$155=$AD$150,$J$154,"")</f>
        <v>El</v>
      </c>
      <c r="AE147" s="35" t="str">
        <f>IF($M$155=$AD$150,$M$154,"")</f>
        <v>Fjärrvärme</v>
      </c>
      <c r="AF147" s="35" t="str">
        <f>IF($P$155=$AD$150,$P$154,"")</f>
        <v>Gas</v>
      </c>
      <c r="AG147" s="174"/>
      <c r="AI147" s="110" t="s">
        <v>1093</v>
      </c>
      <c r="AJ147" s="35" t="str">
        <f>AD147</f>
        <v>El</v>
      </c>
      <c r="AK147" s="35" t="str">
        <f>AE147</f>
        <v>Fjärrvärme</v>
      </c>
      <c r="AL147" s="35" t="str">
        <f>AF147</f>
        <v>Gas</v>
      </c>
      <c r="AM147" s="174"/>
      <c r="BA147" s="24" t="s">
        <v>1285</v>
      </c>
      <c r="BB147" s="30">
        <f>IF(OR(BB146="Fjärrvärme",BB146="Biobränsle",BB146="Gas",BB146="Olja"),1,IF(BB146="El",1.6,""))</f>
        <v>1.6</v>
      </c>
      <c r="BC147" s="30">
        <f>IF(OR(BC146="Fjärrvärme",BC146="Biobränsle",BC146="Gas",BC146="Olja"),1,IF(BC146="El",1.6,""))</f>
        <v>1</v>
      </c>
      <c r="BD147" s="30">
        <f>IF(OR(BD146="Fjärrvärme",BD146="Biobränsle",BD146="Gas",BD146="Olja"),1,IF(BD146="El",1.6,""))</f>
        <v>1</v>
      </c>
    </row>
    <row r="148" spans="2:75" ht="16.5" customHeight="1" x14ac:dyDescent="0.25">
      <c r="E148" s="20"/>
      <c r="F148" s="238" t="s">
        <v>1369</v>
      </c>
      <c r="G148" s="23" t="str">
        <f>IF(OR(AV44="Fel i indata",AV45="Fel i indata",AV46="Fel i indata",AV47="Fel i indata",AV48="Fel i indata",AV49="Fel i indata",AV50="Fel i indata",AV51="Fel i indata",AV52="Fel i indata",AV53="Fel i indata",AV54="Fel i indata",AV55="Fel i indata",AX44="Fel i indata",AX45="Fel i indata",AX46="Fel i indata",AX47="Fel i indata",AX48="Fel i indata",AX49="Fel i indata",AX50="Fel i indata",AX51="Fel i indata",AX52="Fel i indata",AX53="Fel i indata",AX54="Fel i indata",AX55="Fel i indata"),"Fel i indata","")</f>
        <v/>
      </c>
      <c r="I148" s="17" t="str">
        <f>IF(G148="Fel i indata","OBS! Se över din indata, energi för tappvarmvatten blir negativ efter avdrag för egenproducerad/återvunnen energi","")</f>
        <v/>
      </c>
      <c r="L148" s="51"/>
      <c r="M148" s="51"/>
      <c r="O148" s="51"/>
      <c r="P148" s="51"/>
      <c r="R148" s="51"/>
      <c r="S148" s="51"/>
      <c r="U148" s="51"/>
      <c r="V148" s="51"/>
      <c r="X148" s="110"/>
      <c r="Y148" s="110"/>
      <c r="Z148" s="110"/>
      <c r="AA148" s="110"/>
      <c r="AB148" s="110"/>
      <c r="AG148" s="174"/>
      <c r="AH148" s="110"/>
      <c r="AM148" s="174"/>
      <c r="AN148" s="110"/>
      <c r="AO148" s="110"/>
      <c r="AP148" s="110"/>
      <c r="AQ148" s="110"/>
      <c r="AR148" s="110"/>
      <c r="AS148" s="110"/>
      <c r="AT148" s="110"/>
      <c r="AU148" s="110"/>
      <c r="AV148" s="110"/>
      <c r="AW148" s="110"/>
      <c r="AX148" s="110"/>
      <c r="BA148" s="24" t="s">
        <v>1286</v>
      </c>
      <c r="BB148" s="32">
        <f>IF(OR(BB146="El",BB146="Gas",BB146="Olja"),1.8,IF(BB146="Fjärrvärme",0.7,IF(BB146="Biobränsle",0.6,"")))</f>
        <v>1.8</v>
      </c>
      <c r="BC148" s="32">
        <f>IF(OR(BC146="El",BC146="Gas",BC146="Olja"),1.8,IF(BC146="Fjärrvärme",0.7,IF(BC146="Biobränsle",0.6,"")))</f>
        <v>0.7</v>
      </c>
      <c r="BD148" s="32">
        <f>IF(OR(BD146="El",BD146="Gas",BD146="Olja"),1.8,IF(BD146="Fjärrvärme",0.7,IF(BD146="Biobränsle",0.6,"")))</f>
        <v>1.8</v>
      </c>
    </row>
    <row r="149" spans="2:75" ht="16.5" customHeight="1" x14ac:dyDescent="0.25">
      <c r="E149" s="20"/>
      <c r="F149" s="238" t="s">
        <v>1370</v>
      </c>
      <c r="G149" s="23" t="str">
        <f>IF(OR(AG82="Fel i indata",AG83="Fel i indata",AG84="Fel i indata",AG85="Fel i indata",AG86="Fel i indata",AG87="Fel i indata",AG88="Fel i indata",AG89="Fel i indata",AG90="Fel i indata",AG91="Fel i indata",AG92="Fel i indata",AG93="Fel i indata"),"Fel i indata","")</f>
        <v/>
      </c>
      <c r="I149" s="17" t="str">
        <f>IF(G149="Fel i indata","OBS! Se över din indata, energi för komfortkyla blir negativ efter avdrag för egenproducerad/återvunnen energi","")</f>
        <v/>
      </c>
      <c r="L149" s="51"/>
      <c r="M149" s="51"/>
      <c r="O149" s="51"/>
      <c r="P149" s="51"/>
      <c r="R149" s="51"/>
      <c r="S149" s="51"/>
      <c r="U149" s="51"/>
      <c r="V149" s="51"/>
      <c r="X149" s="110"/>
      <c r="Y149" s="84" t="s">
        <v>1381</v>
      </c>
      <c r="AH149" s="162"/>
      <c r="AJ149" s="84" t="s">
        <v>1380</v>
      </c>
      <c r="AN149" s="162"/>
      <c r="AO149" s="162"/>
      <c r="AP149" s="162"/>
      <c r="AQ149" s="162"/>
      <c r="AR149" s="162"/>
      <c r="AS149" s="162"/>
      <c r="AT149" s="162"/>
      <c r="AU149" s="162"/>
      <c r="AV149" s="162"/>
      <c r="AW149" s="162"/>
      <c r="AX149" s="162"/>
    </row>
    <row r="150" spans="2:75" ht="16.5" customHeight="1" x14ac:dyDescent="0.25">
      <c r="E150" s="20"/>
      <c r="F150" s="238" t="s">
        <v>1089</v>
      </c>
      <c r="G150" s="23" t="str">
        <f>IF(OR(AL105="Fel i indata",AL106="Fel i indata",AL107="Fel i indata",AL108="Fel i indata",AL109="Fel i indata",AL110="Fel i indata",AL111="Fel i indata",AL112="Fel i indata",AL113="Fel i indata",AL114="Fel i indata",AL115="Fel i indata",AL116="Fel i indata",AK117="Fel i indata"),"Fel i indata","")</f>
        <v/>
      </c>
      <c r="I150" s="17" t="str">
        <f>IF(G150="Fel I indata","OBS! Se över din indata, energi för fastighetsenergi blir negativ efter avdrag för egenproducerad/återvunnen energi","")</f>
        <v/>
      </c>
      <c r="L150" s="51"/>
      <c r="M150" s="51"/>
      <c r="O150" s="51"/>
      <c r="P150" s="51"/>
      <c r="R150" s="51"/>
      <c r="S150" s="51"/>
      <c r="U150" s="51"/>
      <c r="V150" s="51"/>
      <c r="Y150" s="85" t="s">
        <v>1282</v>
      </c>
      <c r="AB150" s="110"/>
      <c r="AD150" s="85" t="s">
        <v>1157</v>
      </c>
      <c r="AG150" s="110"/>
      <c r="AH150" s="175"/>
      <c r="AJ150" s="85" t="s">
        <v>1157</v>
      </c>
      <c r="AM150" s="110"/>
      <c r="AN150" s="175"/>
      <c r="AO150" s="175"/>
      <c r="AP150" s="175"/>
      <c r="AQ150" s="175"/>
      <c r="AR150" s="175"/>
      <c r="AS150" s="175"/>
      <c r="AT150" s="175"/>
      <c r="AU150" s="175"/>
      <c r="AV150" s="175"/>
      <c r="AW150" s="175"/>
      <c r="AX150" s="175"/>
      <c r="BA150" s="22"/>
      <c r="BB150" s="22"/>
      <c r="BC150" s="22"/>
      <c r="BD150" s="22"/>
      <c r="BE150" s="22"/>
    </row>
    <row r="151" spans="2:75" ht="16.5" customHeight="1" x14ac:dyDescent="0.25">
      <c r="B151" s="254">
        <v>6</v>
      </c>
      <c r="C151" s="255" t="s">
        <v>1283</v>
      </c>
      <c r="D151" s="256"/>
      <c r="E151" s="257"/>
      <c r="F151" s="256"/>
      <c r="G151" s="256"/>
      <c r="H151" s="256"/>
      <c r="I151" s="256"/>
      <c r="J151" s="256"/>
      <c r="K151" s="256"/>
      <c r="L151" s="256"/>
      <c r="M151" s="257"/>
      <c r="N151" s="257"/>
      <c r="O151" s="257"/>
      <c r="P151" s="257"/>
      <c r="Q151" s="257"/>
      <c r="R151" s="257"/>
      <c r="S151" s="257"/>
      <c r="T151" s="257"/>
      <c r="U151" s="257"/>
      <c r="V151" s="257"/>
      <c r="W151" s="258"/>
      <c r="X151" s="110" t="s">
        <v>1093</v>
      </c>
      <c r="Y151" s="35" t="str">
        <f>Y147</f>
        <v/>
      </c>
      <c r="Z151" s="35" t="str">
        <f>IF(Z147&lt;&gt;Y147,Z147,"")</f>
        <v/>
      </c>
      <c r="AA151" s="35" t="str">
        <f>IF(AND(AA147&lt;&gt;Z147,AA147&lt;&gt;Y147),AA147,"")</f>
        <v/>
      </c>
      <c r="AB151" s="35" t="s">
        <v>1094</v>
      </c>
      <c r="AD151" s="35" t="str">
        <f>AD147</f>
        <v>El</v>
      </c>
      <c r="AE151" s="35" t="str">
        <f>IF(AE147&lt;&gt;AD147,AE147,"")</f>
        <v>Fjärrvärme</v>
      </c>
      <c r="AF151" s="35" t="str">
        <f>IF(AND(AF147&lt;&gt;AE147,AF147&lt;&gt;AD147),AF147,"")</f>
        <v>Gas</v>
      </c>
      <c r="AG151" s="35" t="s">
        <v>1094</v>
      </c>
      <c r="AH151" s="175"/>
      <c r="AJ151" s="35" t="str">
        <f>AJ147</f>
        <v>El</v>
      </c>
      <c r="AK151" s="35" t="str">
        <f>IF(AK147&lt;&gt;AJ147,AK147,"")</f>
        <v>Fjärrvärme</v>
      </c>
      <c r="AL151" s="35" t="str">
        <f>IF(AND(AL147&lt;&gt;AK147,AL147&lt;&gt;AJ147),AL147,"")</f>
        <v>Gas</v>
      </c>
      <c r="AM151" s="35" t="s">
        <v>1094</v>
      </c>
      <c r="AN151" s="175"/>
      <c r="AO151" s="175"/>
      <c r="AP151" s="175"/>
      <c r="AQ151" s="175"/>
      <c r="AR151" s="175"/>
      <c r="AS151" s="175"/>
      <c r="AT151" s="175"/>
      <c r="AU151" s="175"/>
      <c r="AV151" s="175"/>
      <c r="AW151" s="175"/>
      <c r="AX151" s="175"/>
      <c r="BB151" s="22" t="str">
        <f t="shared" ref="BB151:BB163" si="274">AJ151</f>
        <v>El</v>
      </c>
      <c r="BC151" s="22" t="str">
        <f t="shared" ref="BC151:BC163" si="275">AK151</f>
        <v>Fjärrvärme</v>
      </c>
      <c r="BD151" s="22" t="str">
        <f t="shared" ref="BD151:BD163" si="276">AL151</f>
        <v>Gas</v>
      </c>
      <c r="BE151" s="22" t="s">
        <v>1159</v>
      </c>
      <c r="BU151" s="22"/>
      <c r="BV151" s="22"/>
      <c r="BW151" s="22"/>
    </row>
    <row r="152" spans="2:75" ht="16.5" customHeight="1" x14ac:dyDescent="0.25">
      <c r="C152" s="17" t="str">
        <f>IF(AB165&gt;50,"OBS! VERKSAMHETSEL ÄR STÖRRE ÄN 50 kWh/m2 Atemp PER LOKALAREA. I LOKALBYGGNADER FÅR INTERNT GENERERAT VÄRMEÖVERSKOTT PÅ HÖGST 50 kWh/m2 Atemp TILLGODORÄKNAS. ANVÄND DYNAMISK ENERGIBERÄKNING FÖR NORMALISERING AV MÄTVÄRDEN.","")</f>
        <v/>
      </c>
      <c r="Y152" s="164">
        <f>IF('Indata byggnad och BBR krav'!$C$18=0,0,(IF(AND(J$155=$Y$150, $J$154=$Y$151),I159,0)+IF(AND($M$155=$Y$150, $M$154=$Y$151),L159,0)+IF(AND($P$155=$Y$150, $P$154=$Y$151),O159,0)))</f>
        <v>0</v>
      </c>
      <c r="Z152" s="171">
        <f>IF('Indata byggnad och BBR krav'!$C$18=0,0,(IF(AND(J$155=$Y$150, $J$154=$Z$151),I159,0)+IF(AND($M$155=$Y$150, $M$154=$Z$151),L159,0)+IF(AND($P$155=$Y$150, $P$154=$Z$151),O159,0)))</f>
        <v>0</v>
      </c>
      <c r="AA152" s="171">
        <f>IF('Indata byggnad och BBR krav'!$C$18=0,0,(IF(AND(J$155=$Y$150, $J$154=$AA$151),I159,0)+IF(AND($M$155=$Y$150, $M$154=$AA$151),L159,0)+IF(AND($P$155=$Y$150, $P$154=$AA$151),O159,0)))</f>
        <v>0</v>
      </c>
      <c r="AB152" s="164">
        <f>Y152+Z152+AA152</f>
        <v>0</v>
      </c>
      <c r="AD152" s="164">
        <f t="shared" ref="AD152:AD163" si="277">IF(AND(J$155=$AD$150, $J$154=$AD$151),I159,0)+IF(AND($M$155=$AD$150, $M$154=$AD$151),L159,0)+IF(AND($P$155=$AD$150, $P$154=$AD$151),O159,0)</f>
        <v>0</v>
      </c>
      <c r="AE152" s="164">
        <f t="shared" ref="AE152:AE163" si="278">IF(AND(J$155=$AD$150, $J$154=$AE$151),I159,0)+IF(AND($M$155=$AD$150, $M$154=$AE$151),L159,0)+IF(AND($P$155=$AD$150, $P$154=$AE$151),O159,0)</f>
        <v>0</v>
      </c>
      <c r="AF152" s="164">
        <f t="shared" ref="AF152:AF163" si="279">IF(AND(J$155=$AD$150, $J$154=$AF$151),I159,0)+IF(AND($M$155=$AD$150, $M$154=$AF$151),L159,0)+IF(AND($P$155=$AD$150, $P$154=$AF$151),O159,0)</f>
        <v>0</v>
      </c>
      <c r="AG152" s="164">
        <f t="shared" ref="AG152:AG163" si="280">AD152+AE152+AF152</f>
        <v>0</v>
      </c>
      <c r="AH152" s="175"/>
      <c r="AJ152" s="164">
        <f>IF('Indata byggnad och BBR krav'!$C$17=0,0,IF(AND($AJ$151="El",$D$107="Ingår i mätdata hushållsel"),AD152-AO105,AD152))</f>
        <v>0</v>
      </c>
      <c r="AK152" s="164">
        <f>IF('Indata byggnad och BBR krav'!$C$17=0,0,IF(AND($AK$151="El",$D$107="Ingår i mätdata hushållsel"),AE152-AO105,AE152))</f>
        <v>0</v>
      </c>
      <c r="AL152" s="164">
        <f>IF('Indata byggnad och BBR krav'!$C$17=0,0,IF(AND(AL151="El",$D$107="Ingår i mätdata hushållsel"),AF152-AO105,AF152))</f>
        <v>0</v>
      </c>
      <c r="AM152" s="164">
        <f t="shared" ref="AM152:AM163" si="281">AJ152+AK152+AL152</f>
        <v>0</v>
      </c>
      <c r="AN152" s="237" t="str">
        <f>IF(OR(AJ152&lt;0,AK152&lt;0,AL152&lt;0),"Fel i indata","")</f>
        <v/>
      </c>
      <c r="AO152" s="175"/>
      <c r="AP152" s="175"/>
      <c r="AQ152" s="175"/>
      <c r="AR152" s="175"/>
      <c r="AS152" s="175"/>
      <c r="AT152" s="175"/>
      <c r="AU152" s="175"/>
      <c r="AV152" s="175"/>
      <c r="AW152" s="175"/>
      <c r="AX152" s="175"/>
      <c r="BB152" s="30">
        <f t="shared" si="274"/>
        <v>0</v>
      </c>
      <c r="BC152" s="30">
        <f t="shared" si="275"/>
        <v>0</v>
      </c>
      <c r="BD152" s="30">
        <f t="shared" si="276"/>
        <v>0</v>
      </c>
      <c r="BE152" s="30">
        <f t="shared" ref="BE152:BE163" si="282">BB152+BC152+BD152</f>
        <v>0</v>
      </c>
      <c r="BU152" s="22"/>
      <c r="BV152" s="22"/>
      <c r="BW152" s="22"/>
    </row>
    <row r="153" spans="2:75" ht="16.5" customHeight="1" x14ac:dyDescent="0.25">
      <c r="F153" s="350" t="s">
        <v>1138</v>
      </c>
      <c r="G153" s="350"/>
      <c r="I153" s="60" t="s">
        <v>1047</v>
      </c>
      <c r="L153" s="60" t="s">
        <v>1048</v>
      </c>
      <c r="O153" s="60" t="s">
        <v>1049</v>
      </c>
      <c r="Y153" s="164">
        <f>IF('Indata byggnad och BBR krav'!$C$18=0,0,(IF(AND(J$155=$Y$150, $J$154=$Y$151),I160,0)+IF(AND($M$155=$Y$150, $M$154=$Y$151),L160,0)+IF(AND($P$155=$Y$150, $P$154=$Y$151),O160,0)))</f>
        <v>0</v>
      </c>
      <c r="Z153" s="171">
        <f>IF('Indata byggnad och BBR krav'!$C$18=0,0,(IF(AND(J$155=$Y$150, $J$154=$Z$151),I160,0)+IF(AND($M$155=$Y$150, $M$154=$Z$151),L160,0)+IF(AND($P$155=$Y$150, $P$154=$Z$151),O160,0)))</f>
        <v>0</v>
      </c>
      <c r="AA153" s="171">
        <f>IF('Indata byggnad och BBR krav'!$C$18=0,0,(IF(AND(J$155=$Y$150, $J$154=$AA$151),I160,0)+IF(AND($M$155=$Y$150, $M$154=$AA$151),L160,0)+IF(AND($P$155=$Y$150, $P$154=$AA$151),O160,0)))</f>
        <v>0</v>
      </c>
      <c r="AB153" s="164">
        <f t="shared" ref="AB153:AB163" si="283">Y153+Z153+AA153</f>
        <v>0</v>
      </c>
      <c r="AD153" s="164">
        <f t="shared" si="277"/>
        <v>0</v>
      </c>
      <c r="AE153" s="164">
        <f t="shared" si="278"/>
        <v>0</v>
      </c>
      <c r="AF153" s="164">
        <f t="shared" si="279"/>
        <v>0</v>
      </c>
      <c r="AG153" s="164">
        <f t="shared" si="280"/>
        <v>0</v>
      </c>
      <c r="AH153" s="175"/>
      <c r="AJ153" s="164">
        <f>IF('Indata byggnad och BBR krav'!$C$17=0,0,IF(AND($AJ$151="El",$D$107="Ingår i mätdata hushållsel"),AD153-AO106,AD153))</f>
        <v>0</v>
      </c>
      <c r="AK153" s="164">
        <f>IF('Indata byggnad och BBR krav'!$C$17=0,0,IF(AND($AK$151="El",$D$107="Ingår i mätdata hushållsel"),AE153-AO106,AE153))</f>
        <v>0</v>
      </c>
      <c r="AL153" s="164">
        <f>IF('Indata byggnad och BBR krav'!$C$17=0,0,IF(AND(AL152="El",$D$107="Ingår i mätdata hushållsel"),AF153-AO106,AF153))</f>
        <v>0</v>
      </c>
      <c r="AM153" s="164">
        <f t="shared" si="281"/>
        <v>0</v>
      </c>
      <c r="AN153" s="237" t="str">
        <f t="shared" ref="AN153:AN163" si="284">IF(OR(AJ153&lt;0,AK153&lt;0,AL153&lt;0),"Fel i indata","")</f>
        <v/>
      </c>
      <c r="AO153" s="175"/>
      <c r="AP153" s="175"/>
      <c r="AQ153" s="175"/>
      <c r="AR153" s="175"/>
      <c r="AS153" s="175"/>
      <c r="AT153" s="175"/>
      <c r="AU153" s="175"/>
      <c r="AV153" s="175"/>
      <c r="AW153" s="175"/>
      <c r="AX153" s="175"/>
      <c r="BB153" s="30">
        <f t="shared" si="274"/>
        <v>0</v>
      </c>
      <c r="BC153" s="30">
        <f t="shared" si="275"/>
        <v>0</v>
      </c>
      <c r="BD153" s="30">
        <f t="shared" si="276"/>
        <v>0</v>
      </c>
      <c r="BE153" s="30">
        <f t="shared" si="282"/>
        <v>0</v>
      </c>
      <c r="BU153" s="22"/>
      <c r="BV153" s="22"/>
      <c r="BW153" s="22"/>
    </row>
    <row r="154" spans="2:75" ht="16.5" customHeight="1" x14ac:dyDescent="0.25">
      <c r="C154" s="34" t="s">
        <v>1278</v>
      </c>
      <c r="D154" s="242" t="s">
        <v>1281</v>
      </c>
      <c r="F154" s="34" t="s">
        <v>9</v>
      </c>
      <c r="G154" s="249">
        <f>$G$14</f>
        <v>2021</v>
      </c>
      <c r="H154" s="3"/>
      <c r="I154" s="33" t="s">
        <v>1209</v>
      </c>
      <c r="J154" s="242" t="s">
        <v>1085</v>
      </c>
      <c r="K154" s="3"/>
      <c r="L154" s="33" t="s">
        <v>1209</v>
      </c>
      <c r="M154" s="242" t="s">
        <v>14</v>
      </c>
      <c r="N154" s="3"/>
      <c r="O154" s="33" t="s">
        <v>1209</v>
      </c>
      <c r="P154" s="242" t="s">
        <v>1096</v>
      </c>
      <c r="Q154" s="3"/>
      <c r="R154" s="3"/>
      <c r="S154" s="3"/>
      <c r="T154" s="3"/>
      <c r="U154" s="3"/>
      <c r="V154" s="3"/>
      <c r="Y154" s="164">
        <f>IF('Indata byggnad och BBR krav'!$C$18=0,0,(IF(AND(J$155=$Y$150, $J$154=$Y$151),I161,0)+IF(AND($M$155=$Y$150, $M$154=$Y$151),L161,0)+IF(AND($P$155=$Y$150, $P$154=$Y$151),O161,0)))</f>
        <v>0</v>
      </c>
      <c r="Z154" s="171">
        <f>IF('Indata byggnad och BBR krav'!$C$18=0,0,(IF(AND(J$155=$Y$150, $J$154=$Z$151),I161,0)+IF(AND($M$155=$Y$150, $M$154=$Z$151),L161,0)+IF(AND($P$155=$Y$150, $P$154=$Z$151),O161,0)))</f>
        <v>0</v>
      </c>
      <c r="AA154" s="171">
        <f>IF('Indata byggnad och BBR krav'!$C$18=0,0,(IF(AND(J$155=$Y$150, $J$154=$AA$151),I161,0)+IF(AND($M$155=$Y$150, $M$154=$AA$151),L161,0)+IF(AND($P$155=$Y$150, $P$154=$AA$151),O161,0)))</f>
        <v>0</v>
      </c>
      <c r="AB154" s="164">
        <f t="shared" si="283"/>
        <v>0</v>
      </c>
      <c r="AD154" s="164">
        <f t="shared" si="277"/>
        <v>0</v>
      </c>
      <c r="AE154" s="164">
        <f t="shared" si="278"/>
        <v>0</v>
      </c>
      <c r="AF154" s="164">
        <f t="shared" si="279"/>
        <v>0</v>
      </c>
      <c r="AG154" s="164">
        <f t="shared" si="280"/>
        <v>0</v>
      </c>
      <c r="AH154" s="175"/>
      <c r="AJ154" s="164">
        <f>IF('Indata byggnad och BBR krav'!$C$17=0,0,IF(AND($AJ$151="El",$D$107="Ingår i mätdata hushållsel"),AD154-AO107,AD154))</f>
        <v>0</v>
      </c>
      <c r="AK154" s="164">
        <f>IF('Indata byggnad och BBR krav'!$C$17=0,0,IF(AND($AK$151="El",$D$107="Ingår i mätdata hushållsel"),AE154-AO107,AE154))</f>
        <v>0</v>
      </c>
      <c r="AL154" s="164">
        <f>IF('Indata byggnad och BBR krav'!$C$17=0,0,IF(AND(AL153="El",$D$107="Ingår i mätdata hushållsel"),AF154-AO107,AF154))</f>
        <v>0</v>
      </c>
      <c r="AM154" s="164">
        <f t="shared" si="281"/>
        <v>0</v>
      </c>
      <c r="AN154" s="237" t="str">
        <f t="shared" si="284"/>
        <v/>
      </c>
      <c r="AO154" s="175"/>
      <c r="AP154" s="175"/>
      <c r="AQ154" s="175"/>
      <c r="AR154" s="175"/>
      <c r="AS154" s="175"/>
      <c r="AT154" s="175"/>
      <c r="AU154" s="175"/>
      <c r="AV154" s="175"/>
      <c r="AW154" s="175"/>
      <c r="AX154" s="175"/>
      <c r="BB154" s="30">
        <f t="shared" si="274"/>
        <v>0</v>
      </c>
      <c r="BC154" s="30">
        <f t="shared" si="275"/>
        <v>0</v>
      </c>
      <c r="BD154" s="30">
        <f t="shared" si="276"/>
        <v>0</v>
      </c>
      <c r="BE154" s="30">
        <f t="shared" si="282"/>
        <v>0</v>
      </c>
      <c r="BU154" s="22"/>
      <c r="BV154" s="22"/>
      <c r="BW154" s="22"/>
    </row>
    <row r="155" spans="2:75" ht="16.5" customHeight="1" x14ac:dyDescent="0.25">
      <c r="F155" s="34" t="s">
        <v>19</v>
      </c>
      <c r="G155" s="249" t="str">
        <f>$G$15</f>
        <v>jan</v>
      </c>
      <c r="H155" s="3"/>
      <c r="I155" s="33" t="s">
        <v>1139</v>
      </c>
      <c r="J155" s="242" t="s">
        <v>1157</v>
      </c>
      <c r="K155" s="3"/>
      <c r="L155" s="33" t="s">
        <v>1139</v>
      </c>
      <c r="M155" s="242" t="s">
        <v>1157</v>
      </c>
      <c r="N155" s="3"/>
      <c r="O155" s="33" t="s">
        <v>1139</v>
      </c>
      <c r="P155" s="242" t="s">
        <v>1157</v>
      </c>
      <c r="Q155" s="3"/>
      <c r="R155" s="3"/>
      <c r="S155" s="3"/>
      <c r="T155" s="3"/>
      <c r="U155" s="3"/>
      <c r="V155" s="3"/>
      <c r="Y155" s="164">
        <f>IF('Indata byggnad och BBR krav'!$C$18=0,0,(IF(AND(J$155=$Y$150, $J$154=$Y$151),I162,0)+IF(AND($M$155=$Y$150, $M$154=$Y$151),L162,0)+IF(AND($P$155=$Y$150, $P$154=$Y$151),O162,0)))</f>
        <v>0</v>
      </c>
      <c r="Z155" s="171">
        <f>IF('Indata byggnad och BBR krav'!$C$18=0,0,(IF(AND(J$155=$Y$150, $J$154=$Z$151),I162,0)+IF(AND($M$155=$Y$150, $M$154=$Z$151),L162,0)+IF(AND($P$155=$Y$150, $P$154=$Z$151),O162,0)))</f>
        <v>0</v>
      </c>
      <c r="AA155" s="171">
        <f>IF('Indata byggnad och BBR krav'!$C$18=0,0,(IF(AND(J$155=$Y$150, $J$154=$AA$151),I162,0)+IF(AND($M$155=$Y$150, $M$154=$AA$151),L162,0)+IF(AND($P$155=$Y$150, $P$154=$AA$151),O162,0)))</f>
        <v>0</v>
      </c>
      <c r="AB155" s="164">
        <f t="shared" si="283"/>
        <v>0</v>
      </c>
      <c r="AD155" s="164">
        <f t="shared" si="277"/>
        <v>0</v>
      </c>
      <c r="AE155" s="164">
        <f t="shared" si="278"/>
        <v>0</v>
      </c>
      <c r="AF155" s="164">
        <f t="shared" si="279"/>
        <v>0</v>
      </c>
      <c r="AG155" s="164">
        <f t="shared" si="280"/>
        <v>0</v>
      </c>
      <c r="AH155" s="175"/>
      <c r="AJ155" s="164">
        <f>IF('Indata byggnad och BBR krav'!$C$17=0,0,IF(AND($AJ$151="El",$D$107="Ingår i mätdata hushållsel"),AD155-AO108,AD155))</f>
        <v>0</v>
      </c>
      <c r="AK155" s="164">
        <f>IF('Indata byggnad och BBR krav'!$C$17=0,0,IF(AND($AK$151="El",$D$107="Ingår i mätdata hushållsel"),AE155-AO108,AE155))</f>
        <v>0</v>
      </c>
      <c r="AL155" s="164">
        <f>IF('Indata byggnad och BBR krav'!$C$17=0,0,IF(AND(AL154="El",$D$107="Ingår i mätdata hushållsel"),AF155-AO108,AF155))</f>
        <v>0</v>
      </c>
      <c r="AM155" s="164">
        <f t="shared" si="281"/>
        <v>0</v>
      </c>
      <c r="AN155" s="237" t="str">
        <f t="shared" si="284"/>
        <v/>
      </c>
      <c r="AO155" s="175"/>
      <c r="AP155" s="175"/>
      <c r="AQ155" s="175"/>
      <c r="AR155" s="175"/>
      <c r="AS155" s="175"/>
      <c r="AT155" s="175"/>
      <c r="AU155" s="175"/>
      <c r="AV155" s="175"/>
      <c r="AW155" s="175"/>
      <c r="AX155" s="175"/>
      <c r="BB155" s="30">
        <f t="shared" si="274"/>
        <v>0</v>
      </c>
      <c r="BC155" s="30">
        <f t="shared" si="275"/>
        <v>0</v>
      </c>
      <c r="BD155" s="30">
        <f t="shared" si="276"/>
        <v>0</v>
      </c>
      <c r="BE155" s="30">
        <f t="shared" si="282"/>
        <v>0</v>
      </c>
      <c r="BU155" s="22"/>
      <c r="BV155" s="22"/>
      <c r="BW155" s="22"/>
    </row>
    <row r="156" spans="2:75" ht="16.5" customHeight="1" x14ac:dyDescent="0.25">
      <c r="C156" s="33" t="s">
        <v>1050</v>
      </c>
      <c r="D156" s="242">
        <v>0</v>
      </c>
      <c r="F156" s="60"/>
      <c r="G156" s="60"/>
      <c r="H156" s="3"/>
      <c r="M156" s="17"/>
      <c r="Y156" s="164">
        <f>IF('Indata byggnad och BBR krav'!$C$18=0,0,(IF(AND(J$155=$Y$150, $J$154=$Y$151),I163,0)+IF(AND($M$155=$Y$150, $M$154=$Y$151),L163,0)+IF(AND($P$155=$Y$150, $P$154=$Y$151),O163,0)))</f>
        <v>0</v>
      </c>
      <c r="Z156" s="171">
        <f>IF('Indata byggnad och BBR krav'!$C$18=0,0,(IF(AND(J$155=$Y$150, $J$154=$Z$151),I163,0)+IF(AND($M$155=$Y$150, $M$154=$Z$151),L163,0)+IF(AND($P$155=$Y$150, $P$154=$Z$151),O163,0)))</f>
        <v>0</v>
      </c>
      <c r="AA156" s="171">
        <f>IF('Indata byggnad och BBR krav'!$C$18=0,0,(IF(AND(J$155=$Y$150, $J$154=$AA$151),I163,0)+IF(AND($M$155=$Y$150, $M$154=$AA$151),L163,0)+IF(AND($P$155=$Y$150, $P$154=$AA$151),O163,0)))</f>
        <v>0</v>
      </c>
      <c r="AB156" s="164">
        <f t="shared" si="283"/>
        <v>0</v>
      </c>
      <c r="AD156" s="164">
        <f t="shared" si="277"/>
        <v>0</v>
      </c>
      <c r="AE156" s="164">
        <f t="shared" si="278"/>
        <v>0</v>
      </c>
      <c r="AF156" s="164">
        <f t="shared" si="279"/>
        <v>0</v>
      </c>
      <c r="AG156" s="164">
        <f t="shared" si="280"/>
        <v>0</v>
      </c>
      <c r="AH156" s="175"/>
      <c r="AJ156" s="164">
        <f>IF('Indata byggnad och BBR krav'!$C$17=0,0,IF(AND($AJ$151="El",$D$107="Ingår i mätdata hushållsel"),AD156-AO109,AD156))</f>
        <v>0</v>
      </c>
      <c r="AK156" s="164">
        <f>IF('Indata byggnad och BBR krav'!$C$17=0,0,IF(AND($AK$151="El",$D$107="Ingår i mätdata hushållsel"),AE156-AO109,AE156))</f>
        <v>0</v>
      </c>
      <c r="AL156" s="164">
        <f>IF('Indata byggnad och BBR krav'!$C$17=0,0,IF(AND(AL155="El",$D$107="Ingår i mätdata hushållsel"),AF156-AO109,AF156))</f>
        <v>0</v>
      </c>
      <c r="AM156" s="164">
        <f t="shared" si="281"/>
        <v>0</v>
      </c>
      <c r="AN156" s="237" t="str">
        <f t="shared" si="284"/>
        <v/>
      </c>
      <c r="AO156" s="175"/>
      <c r="AP156" s="175"/>
      <c r="AQ156" s="175"/>
      <c r="AR156" s="175"/>
      <c r="AS156" s="175"/>
      <c r="AT156" s="175"/>
      <c r="AU156" s="175"/>
      <c r="AV156" s="175"/>
      <c r="AW156" s="175"/>
      <c r="AX156" s="175"/>
      <c r="BB156" s="30">
        <f t="shared" si="274"/>
        <v>0</v>
      </c>
      <c r="BC156" s="30">
        <f t="shared" si="275"/>
        <v>0</v>
      </c>
      <c r="BD156" s="30">
        <f t="shared" si="276"/>
        <v>0</v>
      </c>
      <c r="BE156" s="30">
        <f t="shared" si="282"/>
        <v>0</v>
      </c>
      <c r="BU156" s="22"/>
      <c r="BV156" s="22"/>
      <c r="BW156" s="22"/>
    </row>
    <row r="157" spans="2:75" ht="16.5" customHeight="1" x14ac:dyDescent="0.25">
      <c r="C157" s="152" t="s">
        <v>1354</v>
      </c>
      <c r="G157" s="3"/>
      <c r="H157" s="3"/>
      <c r="I157" s="64"/>
      <c r="J157" s="40" t="s">
        <v>1132</v>
      </c>
      <c r="K157" s="40"/>
      <c r="L157" s="64"/>
      <c r="M157" s="40" t="s">
        <v>1132</v>
      </c>
      <c r="N157" s="40"/>
      <c r="O157" s="64"/>
      <c r="P157" s="40" t="s">
        <v>1132</v>
      </c>
      <c r="Q157" s="40"/>
      <c r="R157" s="40"/>
      <c r="S157" s="40"/>
      <c r="T157" s="40"/>
      <c r="U157" s="40"/>
      <c r="V157" s="40"/>
      <c r="Y157" s="164">
        <f>IF('Indata byggnad och BBR krav'!$C$18=0,0,(IF(AND(J$155=$Y$150, $J$154=$Y$151),I164,0)+IF(AND($M$155=$Y$150, $M$154=$Y$151),L164,0)+IF(AND($P$155=$Y$150, $P$154=$Y$151),O164,0)))</f>
        <v>0</v>
      </c>
      <c r="Z157" s="171">
        <f>IF('Indata byggnad och BBR krav'!$C$18=0,0,(IF(AND(J$155=$Y$150, $J$154=$Z$151),I164,0)+IF(AND($M$155=$Y$150, $M$154=$Z$151),L164,0)+IF(AND($P$155=$Y$150, $P$154=$Z$151),O164,0)))</f>
        <v>0</v>
      </c>
      <c r="AA157" s="171">
        <f>IF('Indata byggnad och BBR krav'!$C$18=0,0,(IF(AND(J$155=$Y$150, $J$154=$AA$151),I164,0)+IF(AND($M$155=$Y$150, $M$154=$AA$151),L164,0)+IF(AND($P$155=$Y$150, $P$154=$AA$151),O164,0)))</f>
        <v>0</v>
      </c>
      <c r="AB157" s="164">
        <f t="shared" si="283"/>
        <v>0</v>
      </c>
      <c r="AD157" s="164">
        <f t="shared" si="277"/>
        <v>0</v>
      </c>
      <c r="AE157" s="164">
        <f t="shared" si="278"/>
        <v>0</v>
      </c>
      <c r="AF157" s="164">
        <f t="shared" si="279"/>
        <v>0</v>
      </c>
      <c r="AG157" s="164">
        <f t="shared" si="280"/>
        <v>0</v>
      </c>
      <c r="AH157" s="175"/>
      <c r="AJ157" s="164">
        <f>IF('Indata byggnad och BBR krav'!$C$17=0,0,IF(AND($AJ$151="El",$D$107="Ingår i mätdata hushållsel"),AD157-AO110,AD157))</f>
        <v>0</v>
      </c>
      <c r="AK157" s="164">
        <f>IF('Indata byggnad och BBR krav'!$C$17=0,0,IF(AND($AK$151="El",$D$107="Ingår i mätdata hushållsel"),AE157-AO110,AE157))</f>
        <v>0</v>
      </c>
      <c r="AL157" s="164">
        <f>IF('Indata byggnad och BBR krav'!$C$17=0,0,IF(AND(AL156="El",$D$107="Ingår i mätdata hushållsel"),AF157-AO110,AF157))</f>
        <v>0</v>
      </c>
      <c r="AM157" s="164">
        <f t="shared" si="281"/>
        <v>0</v>
      </c>
      <c r="AN157" s="237" t="str">
        <f t="shared" si="284"/>
        <v/>
      </c>
      <c r="AO157" s="175"/>
      <c r="AP157" s="175"/>
      <c r="AQ157" s="175"/>
      <c r="AR157" s="175"/>
      <c r="AS157" s="175"/>
      <c r="AT157" s="175"/>
      <c r="AU157" s="175"/>
      <c r="AV157" s="175"/>
      <c r="AW157" s="175"/>
      <c r="AX157" s="175"/>
      <c r="BB157" s="30">
        <f t="shared" si="274"/>
        <v>0</v>
      </c>
      <c r="BC157" s="30">
        <f t="shared" si="275"/>
        <v>0</v>
      </c>
      <c r="BD157" s="30">
        <f t="shared" si="276"/>
        <v>0</v>
      </c>
      <c r="BE157" s="30">
        <f t="shared" si="282"/>
        <v>0</v>
      </c>
      <c r="BU157" s="22"/>
      <c r="BV157" s="22"/>
      <c r="BW157" s="22"/>
    </row>
    <row r="158" spans="2:75" ht="16.5" customHeight="1" x14ac:dyDescent="0.25">
      <c r="C158" s="351"/>
      <c r="D158" s="352"/>
      <c r="F158" s="262" t="s">
        <v>1044</v>
      </c>
      <c r="G158" s="262" t="s">
        <v>1045</v>
      </c>
      <c r="H158" s="3"/>
      <c r="I158" s="23" t="s">
        <v>1075</v>
      </c>
      <c r="J158" s="262" t="s">
        <v>1075</v>
      </c>
      <c r="K158" s="3"/>
      <c r="L158" s="23" t="s">
        <v>1075</v>
      </c>
      <c r="M158" s="262" t="s">
        <v>1075</v>
      </c>
      <c r="N158" s="3"/>
      <c r="O158" s="23" t="s">
        <v>1075</v>
      </c>
      <c r="P158" s="262" t="s">
        <v>1075</v>
      </c>
      <c r="Q158" s="3"/>
      <c r="R158" s="3"/>
      <c r="S158" s="3"/>
      <c r="T158" s="3"/>
      <c r="U158" s="3"/>
      <c r="V158" s="3"/>
      <c r="Y158" s="164">
        <f>IF('Indata byggnad och BBR krav'!$C$18=0,0,(IF(AND(J$155=$Y$150, $J$154=$Y$151),I165,0)+IF(AND($M$155=$Y$150, $M$154=$Y$151),L165,0)+IF(AND($P$155=$Y$150, $P$154=$Y$151),O165,0)))</f>
        <v>0</v>
      </c>
      <c r="Z158" s="171">
        <f>IF('Indata byggnad och BBR krav'!$C$18=0,0,(IF(AND(J$155=$Y$150, $J$154=$Z$151),I165,0)+IF(AND($M$155=$Y$150, $M$154=$Z$151),L165,0)+IF(AND($P$155=$Y$150, $P$154=$Z$151),O165,0)))</f>
        <v>0</v>
      </c>
      <c r="AA158" s="171">
        <f>IF('Indata byggnad och BBR krav'!$C$18=0,0,(IF(AND(J$155=$Y$150, $J$154=$AA$151),I165,0)+IF(AND($M$155=$Y$150, $M$154=$AA$151),L165,0)+IF(AND($P$155=$Y$150, $P$154=$AA$151),O165,0)))</f>
        <v>0</v>
      </c>
      <c r="AB158" s="164">
        <f t="shared" si="283"/>
        <v>0</v>
      </c>
      <c r="AD158" s="164">
        <f t="shared" si="277"/>
        <v>0</v>
      </c>
      <c r="AE158" s="164">
        <f t="shared" si="278"/>
        <v>0</v>
      </c>
      <c r="AF158" s="164">
        <f t="shared" si="279"/>
        <v>0</v>
      </c>
      <c r="AG158" s="164">
        <f t="shared" si="280"/>
        <v>0</v>
      </c>
      <c r="AH158" s="175"/>
      <c r="AJ158" s="164">
        <f>IF('Indata byggnad och BBR krav'!$C$17=0,0,IF(AND($AJ$151="El",$D$107="Ingår i mätdata hushållsel"),AD158-AO111,AD158))</f>
        <v>0</v>
      </c>
      <c r="AK158" s="164">
        <f>IF('Indata byggnad och BBR krav'!$C$17=0,0,IF(AND($AK$151="El",$D$107="Ingår i mätdata hushållsel"),AE158-AO111,AE158))</f>
        <v>0</v>
      </c>
      <c r="AL158" s="164">
        <f>IF('Indata byggnad och BBR krav'!$C$17=0,0,IF(AND(AL157="El",$D$107="Ingår i mätdata hushållsel"),AF158-AO111,AF158))</f>
        <v>0</v>
      </c>
      <c r="AM158" s="164">
        <f t="shared" si="281"/>
        <v>0</v>
      </c>
      <c r="AN158" s="237" t="str">
        <f t="shared" si="284"/>
        <v/>
      </c>
      <c r="AO158" s="175"/>
      <c r="AP158" s="175"/>
      <c r="AQ158" s="175"/>
      <c r="AR158" s="175"/>
      <c r="AS158" s="175"/>
      <c r="AT158" s="175"/>
      <c r="AU158" s="175"/>
      <c r="AV158" s="175"/>
      <c r="AW158" s="175"/>
      <c r="AX158" s="175"/>
      <c r="BB158" s="30">
        <f t="shared" si="274"/>
        <v>0</v>
      </c>
      <c r="BC158" s="30">
        <f t="shared" si="275"/>
        <v>0</v>
      </c>
      <c r="BD158" s="30">
        <f t="shared" si="276"/>
        <v>0</v>
      </c>
      <c r="BE158" s="30">
        <f t="shared" si="282"/>
        <v>0</v>
      </c>
      <c r="BU158" s="22"/>
      <c r="BV158" s="22"/>
      <c r="BW158" s="22"/>
    </row>
    <row r="159" spans="2:75" ht="16.5" customHeight="1" x14ac:dyDescent="0.25">
      <c r="C159" s="353"/>
      <c r="D159" s="354"/>
      <c r="E159" s="20"/>
      <c r="F159" s="249">
        <f>G154</f>
        <v>2021</v>
      </c>
      <c r="G159" s="249" t="str">
        <f t="shared" ref="G159:G170" ca="1" si="285">OFFSET($EI$2,$EI$43+ROW(F159)-ROW($F$159),0)</f>
        <v>jan</v>
      </c>
      <c r="H159" s="3"/>
      <c r="I159" s="41">
        <f t="shared" ref="I159:I170" si="286">IF(AND($D$156&gt;0,$D$154="Separat mätdata finns"),J159,0)</f>
        <v>0</v>
      </c>
      <c r="J159" s="259"/>
      <c r="K159" s="2"/>
      <c r="L159" s="41">
        <f t="shared" ref="L159:L170" si="287">IF(AND($D$156&gt;1,$D$154="Separat mätdata finns"),M159,0)</f>
        <v>0</v>
      </c>
      <c r="M159" s="259"/>
      <c r="N159" s="2"/>
      <c r="O159" s="41">
        <f t="shared" ref="O159:O170" si="288">IF(AND($D$156&gt;2,$D$154="Separat mätdata finns"),P159,0)</f>
        <v>0</v>
      </c>
      <c r="P159" s="259"/>
      <c r="Q159" s="2"/>
      <c r="R159" s="2"/>
      <c r="S159" s="2"/>
      <c r="T159" s="2"/>
      <c r="U159" s="2"/>
      <c r="V159" s="2"/>
      <c r="Y159" s="164">
        <f>IF('Indata byggnad och BBR krav'!$C$18=0,0,(IF(AND(J$155=$Y$150, $J$154=$Y$151),I166,0)+IF(AND($M$155=$Y$150, $M$154=$Y$151),L166,0)+IF(AND($P$155=$Y$150, $P$154=$Y$151),O166,0)))</f>
        <v>0</v>
      </c>
      <c r="Z159" s="171">
        <f>IF('Indata byggnad och BBR krav'!$C$18=0,0,(IF(AND(J$155=$Y$150, $J$154=$Z$151),I166,0)+IF(AND($M$155=$Y$150, $M$154=$Z$151),L166,0)+IF(AND($P$155=$Y$150, $P$154=$Z$151),O166,0)))</f>
        <v>0</v>
      </c>
      <c r="AA159" s="171">
        <f>IF('Indata byggnad och BBR krav'!$C$18=0,0,(IF(AND(J$155=$Y$150, $J$154=$AA$151),I166,0)+IF(AND($M$155=$Y$150, $M$154=$AA$151),L166,0)+IF(AND($P$155=$Y$150, $P$154=$AA$151),O166,0)))</f>
        <v>0</v>
      </c>
      <c r="AB159" s="164">
        <f t="shared" si="283"/>
        <v>0</v>
      </c>
      <c r="AD159" s="164">
        <f t="shared" si="277"/>
        <v>0</v>
      </c>
      <c r="AE159" s="164">
        <f t="shared" si="278"/>
        <v>0</v>
      </c>
      <c r="AF159" s="164">
        <f t="shared" si="279"/>
        <v>0</v>
      </c>
      <c r="AG159" s="164">
        <f t="shared" si="280"/>
        <v>0</v>
      </c>
      <c r="AH159" s="175"/>
      <c r="AJ159" s="164">
        <f>IF('Indata byggnad och BBR krav'!$C$17=0,0,IF(AND($AJ$151="El",$D$107="Ingår i mätdata hushållsel"),AD159-AO112,AD159))</f>
        <v>0</v>
      </c>
      <c r="AK159" s="164">
        <f>IF('Indata byggnad och BBR krav'!$C$17=0,0,IF(AND($AK$151="El",$D$107="Ingår i mätdata hushållsel"),AE159-AO112,AE159))</f>
        <v>0</v>
      </c>
      <c r="AL159" s="164">
        <f>IF('Indata byggnad och BBR krav'!$C$17=0,0,IF(AND(AL158="El",$D$107="Ingår i mätdata hushållsel"),AF159-AO112,AF159))</f>
        <v>0</v>
      </c>
      <c r="AM159" s="164">
        <f t="shared" si="281"/>
        <v>0</v>
      </c>
      <c r="AN159" s="237" t="str">
        <f t="shared" si="284"/>
        <v/>
      </c>
      <c r="AO159" s="175"/>
      <c r="AP159" s="175"/>
      <c r="AQ159" s="175"/>
      <c r="AR159" s="175"/>
      <c r="AS159" s="175"/>
      <c r="AT159" s="175"/>
      <c r="AU159" s="175"/>
      <c r="AV159" s="175"/>
      <c r="AW159" s="175"/>
      <c r="AX159" s="175"/>
      <c r="BB159" s="30">
        <f t="shared" si="274"/>
        <v>0</v>
      </c>
      <c r="BC159" s="30">
        <f t="shared" si="275"/>
        <v>0</v>
      </c>
      <c r="BD159" s="30">
        <f t="shared" si="276"/>
        <v>0</v>
      </c>
      <c r="BE159" s="30">
        <f t="shared" si="282"/>
        <v>0</v>
      </c>
      <c r="BU159" s="22"/>
      <c r="BV159" s="22"/>
      <c r="BW159" s="22"/>
    </row>
    <row r="160" spans="2:75" ht="16.5" customHeight="1" x14ac:dyDescent="0.25">
      <c r="C160" s="355"/>
      <c r="D160" s="356"/>
      <c r="F160" s="249">
        <f ca="1">IF(G160="jan",F159+1,F159)</f>
        <v>2021</v>
      </c>
      <c r="G160" s="249" t="str">
        <f t="shared" ca="1" si="285"/>
        <v>feb</v>
      </c>
      <c r="H160" s="3"/>
      <c r="I160" s="41">
        <f t="shared" si="286"/>
        <v>0</v>
      </c>
      <c r="J160" s="259"/>
      <c r="K160" s="2"/>
      <c r="L160" s="41">
        <f t="shared" si="287"/>
        <v>0</v>
      </c>
      <c r="M160" s="259"/>
      <c r="N160" s="2"/>
      <c r="O160" s="41">
        <f t="shared" si="288"/>
        <v>0</v>
      </c>
      <c r="P160" s="259"/>
      <c r="Q160" s="2"/>
      <c r="R160" s="2"/>
      <c r="S160" s="2"/>
      <c r="T160" s="2"/>
      <c r="U160" s="2"/>
      <c r="V160" s="2"/>
      <c r="Y160" s="164">
        <f>IF('Indata byggnad och BBR krav'!$C$18=0,0,(IF(AND(J$155=$Y$150, $J$154=$Y$151),I167,0)+IF(AND($M$155=$Y$150, $M$154=$Y$151),L167,0)+IF(AND($P$155=$Y$150, $P$154=$Y$151),O167,0)))</f>
        <v>0</v>
      </c>
      <c r="Z160" s="171">
        <f>IF('Indata byggnad och BBR krav'!$C$18=0,0,(IF(AND(J$155=$Y$150, $J$154=$Z$151),I167,0)+IF(AND($M$155=$Y$150, $M$154=$Z$151),L167,0)+IF(AND($P$155=$Y$150, $P$154=$Z$151),O167,0)))</f>
        <v>0</v>
      </c>
      <c r="AA160" s="171">
        <f>IF('Indata byggnad och BBR krav'!$C$18=0,0,(IF(AND(J$155=$Y$150, $J$154=$AA$151),I167,0)+IF(AND($M$155=$Y$150, $M$154=$AA$151),L167,0)+IF(AND($P$155=$Y$150, $P$154=$AA$151),O167,0)))</f>
        <v>0</v>
      </c>
      <c r="AB160" s="164">
        <f t="shared" si="283"/>
        <v>0</v>
      </c>
      <c r="AD160" s="164">
        <f t="shared" si="277"/>
        <v>0</v>
      </c>
      <c r="AE160" s="164">
        <f t="shared" si="278"/>
        <v>0</v>
      </c>
      <c r="AF160" s="164">
        <f t="shared" si="279"/>
        <v>0</v>
      </c>
      <c r="AG160" s="164">
        <f t="shared" si="280"/>
        <v>0</v>
      </c>
      <c r="AH160" s="175"/>
      <c r="AJ160" s="164">
        <f>IF('Indata byggnad och BBR krav'!$C$17=0,0,IF(AND($AJ$151="El",$D$107="Ingår i mätdata hushållsel"),AD160-AO113,AD160))</f>
        <v>0</v>
      </c>
      <c r="AK160" s="164">
        <f>IF('Indata byggnad och BBR krav'!$C$17=0,0,IF(AND($AK$151="El",$D$107="Ingår i mätdata hushållsel"),AE160-AO113,AE160))</f>
        <v>0</v>
      </c>
      <c r="AL160" s="164">
        <f>IF('Indata byggnad och BBR krav'!$C$17=0,0,IF(AND(AL159="El",$D$107="Ingår i mätdata hushållsel"),AF160-AO113,AF160))</f>
        <v>0</v>
      </c>
      <c r="AM160" s="164">
        <f t="shared" si="281"/>
        <v>0</v>
      </c>
      <c r="AN160" s="237" t="str">
        <f t="shared" si="284"/>
        <v/>
      </c>
      <c r="AO160" s="175"/>
      <c r="AP160" s="175"/>
      <c r="AQ160" s="175"/>
      <c r="AR160" s="175"/>
      <c r="AS160" s="175"/>
      <c r="AT160" s="175"/>
      <c r="AU160" s="175"/>
      <c r="AV160" s="175"/>
      <c r="AW160" s="175"/>
      <c r="AX160" s="175"/>
      <c r="BB160" s="30">
        <f t="shared" si="274"/>
        <v>0</v>
      </c>
      <c r="BC160" s="30">
        <f t="shared" si="275"/>
        <v>0</v>
      </c>
      <c r="BD160" s="30">
        <f t="shared" si="276"/>
        <v>0</v>
      </c>
      <c r="BE160" s="30">
        <f t="shared" si="282"/>
        <v>0</v>
      </c>
      <c r="BU160" s="22"/>
      <c r="BV160" s="22"/>
      <c r="BW160" s="22"/>
    </row>
    <row r="161" spans="2:75" ht="16.5" customHeight="1" x14ac:dyDescent="0.25">
      <c r="F161" s="249">
        <f t="shared" ref="F161:F170" ca="1" si="289">IF(G161="jan",F160+1,F160)</f>
        <v>2021</v>
      </c>
      <c r="G161" s="249" t="str">
        <f t="shared" ca="1" si="285"/>
        <v>mars</v>
      </c>
      <c r="H161" s="3"/>
      <c r="I161" s="41">
        <f t="shared" si="286"/>
        <v>0</v>
      </c>
      <c r="J161" s="259"/>
      <c r="K161" s="2"/>
      <c r="L161" s="41">
        <f t="shared" si="287"/>
        <v>0</v>
      </c>
      <c r="M161" s="259"/>
      <c r="N161" s="2"/>
      <c r="O161" s="41">
        <f t="shared" si="288"/>
        <v>0</v>
      </c>
      <c r="P161" s="259"/>
      <c r="Q161" s="2"/>
      <c r="R161" s="2"/>
      <c r="S161" s="2"/>
      <c r="T161" s="2"/>
      <c r="U161" s="2"/>
      <c r="V161" s="2"/>
      <c r="Y161" s="164">
        <f>IF('Indata byggnad och BBR krav'!$C$18=0,0,(IF(AND(J$155=$Y$150, $J$154=$Y$151),I168,0)+IF(AND($M$155=$Y$150, $M$154=$Y$151),L168,0)+IF(AND($P$155=$Y$150, $P$154=$Y$151),O168,0)))</f>
        <v>0</v>
      </c>
      <c r="Z161" s="171">
        <f>IF('Indata byggnad och BBR krav'!$C$18=0,0,(IF(AND(J$155=$Y$150, $J$154=$Z$151),I168,0)+IF(AND($M$155=$Y$150, $M$154=$Z$151),L168,0)+IF(AND($P$155=$Y$150, $P$154=$Z$151),O168,0)))</f>
        <v>0</v>
      </c>
      <c r="AA161" s="171">
        <f>IF('Indata byggnad och BBR krav'!$C$18=0,0,(IF(AND(J$155=$Y$150, $J$154=$AA$151),I168,0)+IF(AND($M$155=$Y$150, $M$154=$AA$151),L168,0)+IF(AND($P$155=$Y$150, $P$154=$AA$151),O168,0)))</f>
        <v>0</v>
      </c>
      <c r="AB161" s="164">
        <f t="shared" si="283"/>
        <v>0</v>
      </c>
      <c r="AD161" s="164">
        <f t="shared" si="277"/>
        <v>0</v>
      </c>
      <c r="AE161" s="164">
        <f t="shared" si="278"/>
        <v>0</v>
      </c>
      <c r="AF161" s="164">
        <f t="shared" si="279"/>
        <v>0</v>
      </c>
      <c r="AG161" s="164">
        <f t="shared" si="280"/>
        <v>0</v>
      </c>
      <c r="AH161" s="175"/>
      <c r="AJ161" s="164">
        <f>IF('Indata byggnad och BBR krav'!$C$17=0,0,IF(AND($AJ$151="El",$D$107="Ingår i mätdata hushållsel"),AD161-AO114,AD161))</f>
        <v>0</v>
      </c>
      <c r="AK161" s="164">
        <f>IF('Indata byggnad och BBR krav'!$C$17=0,0,IF(AND($AK$151="El",$D$107="Ingår i mätdata hushållsel"),AE161-AO114,AE161))</f>
        <v>0</v>
      </c>
      <c r="AL161" s="164">
        <f>IF('Indata byggnad och BBR krav'!$C$17=0,0,IF(AND(AL160="El",$D$107="Ingår i mätdata hushållsel"),AF161-AO114,AF161))</f>
        <v>0</v>
      </c>
      <c r="AM161" s="164">
        <f t="shared" si="281"/>
        <v>0</v>
      </c>
      <c r="AN161" s="237" t="str">
        <f t="shared" si="284"/>
        <v/>
      </c>
      <c r="AO161" s="175"/>
      <c r="AP161" s="175"/>
      <c r="AQ161" s="175"/>
      <c r="AR161" s="175"/>
      <c r="AS161" s="175"/>
      <c r="AT161" s="175"/>
      <c r="AU161" s="175"/>
      <c r="AV161" s="175"/>
      <c r="AW161" s="175"/>
      <c r="AX161" s="175"/>
      <c r="BB161" s="30">
        <f t="shared" si="274"/>
        <v>0</v>
      </c>
      <c r="BC161" s="30">
        <f t="shared" si="275"/>
        <v>0</v>
      </c>
      <c r="BD161" s="30">
        <f t="shared" si="276"/>
        <v>0</v>
      </c>
      <c r="BE161" s="30">
        <f t="shared" si="282"/>
        <v>0</v>
      </c>
      <c r="BU161" s="22"/>
      <c r="BV161" s="22"/>
      <c r="BW161" s="22"/>
    </row>
    <row r="162" spans="2:75" ht="16.5" customHeight="1" x14ac:dyDescent="0.25">
      <c r="F162" s="249">
        <f t="shared" ca="1" si="289"/>
        <v>2021</v>
      </c>
      <c r="G162" s="249" t="str">
        <f t="shared" ca="1" si="285"/>
        <v>apr</v>
      </c>
      <c r="H162" s="3"/>
      <c r="I162" s="41">
        <f t="shared" si="286"/>
        <v>0</v>
      </c>
      <c r="J162" s="259"/>
      <c r="K162" s="2"/>
      <c r="L162" s="41">
        <f t="shared" si="287"/>
        <v>0</v>
      </c>
      <c r="M162" s="259"/>
      <c r="N162" s="2"/>
      <c r="O162" s="41">
        <f t="shared" si="288"/>
        <v>0</v>
      </c>
      <c r="P162" s="259"/>
      <c r="Q162" s="2"/>
      <c r="R162" s="2"/>
      <c r="S162" s="2"/>
      <c r="T162" s="2"/>
      <c r="U162" s="2"/>
      <c r="V162" s="2"/>
      <c r="Y162" s="164">
        <f>IF('Indata byggnad och BBR krav'!$C$18=0,0,(IF(AND(J$155=$Y$150, $J$154=$Y$151),I169,0)+IF(AND($M$155=$Y$150, $M$154=$Y$151),L169,0)+IF(AND($P$155=$Y$150, $P$154=$Y$151),O169,0)))</f>
        <v>0</v>
      </c>
      <c r="Z162" s="171">
        <f>IF('Indata byggnad och BBR krav'!$C$18=0,0,(IF(AND(J$155=$Y$150, $J$154=$Z$151),I169,0)+IF(AND($M$155=$Y$150, $M$154=$Z$151),L169,0)+IF(AND($P$155=$Y$150, $P$154=$Z$151),O169,0)))</f>
        <v>0</v>
      </c>
      <c r="AA162" s="171">
        <f>IF('Indata byggnad och BBR krav'!$C$18=0,0,(IF(AND(J$155=$Y$150, $J$154=$AA$151),I169,0)+IF(AND($M$155=$Y$150, $M$154=$AA$151),L169,0)+IF(AND($P$155=$Y$150, $P$154=$AA$151),O169,0)))</f>
        <v>0</v>
      </c>
      <c r="AB162" s="164">
        <f t="shared" si="283"/>
        <v>0</v>
      </c>
      <c r="AD162" s="164">
        <f t="shared" si="277"/>
        <v>0</v>
      </c>
      <c r="AE162" s="164">
        <f t="shared" si="278"/>
        <v>0</v>
      </c>
      <c r="AF162" s="164">
        <f t="shared" si="279"/>
        <v>0</v>
      </c>
      <c r="AG162" s="164">
        <f t="shared" si="280"/>
        <v>0</v>
      </c>
      <c r="AH162" s="175"/>
      <c r="AJ162" s="164">
        <f>IF('Indata byggnad och BBR krav'!$C$17=0,0,IF(AND($AJ$151="El",$D$107="Ingår i mätdata hushållsel"),AD162-AO115,AD162))</f>
        <v>0</v>
      </c>
      <c r="AK162" s="164">
        <f>IF('Indata byggnad och BBR krav'!$C$17=0,0,IF(AND($AK$151="El",$D$107="Ingår i mätdata hushållsel"),AE162-AO115,AE162))</f>
        <v>0</v>
      </c>
      <c r="AL162" s="164">
        <f>IF('Indata byggnad och BBR krav'!$C$17=0,0,IF(AND(AL161="El",$D$107="Ingår i mätdata hushållsel"),AF162-AO115,AF162))</f>
        <v>0</v>
      </c>
      <c r="AM162" s="164">
        <f t="shared" si="281"/>
        <v>0</v>
      </c>
      <c r="AN162" s="237" t="str">
        <f t="shared" si="284"/>
        <v/>
      </c>
      <c r="AO162" s="175"/>
      <c r="AP162" s="175"/>
      <c r="AQ162" s="175"/>
      <c r="AR162" s="175"/>
      <c r="AS162" s="175"/>
      <c r="AT162" s="175"/>
      <c r="AU162" s="175"/>
      <c r="AV162" s="175"/>
      <c r="AW162" s="175"/>
      <c r="AX162" s="175"/>
      <c r="BB162" s="30">
        <f t="shared" si="274"/>
        <v>0</v>
      </c>
      <c r="BC162" s="30">
        <f t="shared" si="275"/>
        <v>0</v>
      </c>
      <c r="BD162" s="30">
        <f t="shared" si="276"/>
        <v>0</v>
      </c>
      <c r="BE162" s="30">
        <f t="shared" si="282"/>
        <v>0</v>
      </c>
      <c r="BU162" s="22"/>
      <c r="BV162" s="22"/>
      <c r="BW162" s="22"/>
    </row>
    <row r="163" spans="2:75" ht="16.5" customHeight="1" thickBot="1" x14ac:dyDescent="0.3">
      <c r="F163" s="249">
        <f t="shared" ca="1" si="289"/>
        <v>2021</v>
      </c>
      <c r="G163" s="249" t="str">
        <f t="shared" ca="1" si="285"/>
        <v>maj</v>
      </c>
      <c r="H163" s="3"/>
      <c r="I163" s="41">
        <f t="shared" si="286"/>
        <v>0</v>
      </c>
      <c r="J163" s="259"/>
      <c r="K163" s="2"/>
      <c r="L163" s="41">
        <f t="shared" si="287"/>
        <v>0</v>
      </c>
      <c r="M163" s="259"/>
      <c r="N163" s="2"/>
      <c r="O163" s="41">
        <f t="shared" si="288"/>
        <v>0</v>
      </c>
      <c r="P163" s="259"/>
      <c r="Q163" s="2"/>
      <c r="R163" s="2"/>
      <c r="S163" s="2"/>
      <c r="T163" s="2"/>
      <c r="U163" s="2"/>
      <c r="V163" s="2"/>
      <c r="Y163" s="164">
        <f>IF('Indata byggnad och BBR krav'!$C$18=0,0,(IF(AND(J$155=$Y$150, $J$154=$Y$151),I170,0)+IF(AND($M$155=$Y$150, $M$154=$Y$151),L170,0)+IF(AND($P$155=$Y$150, $P$154=$Y$151),O170,0)))</f>
        <v>0</v>
      </c>
      <c r="Z163" s="171">
        <f>IF('Indata byggnad och BBR krav'!$C$18=0,0,(IF(AND(J$155=$Y$150, $J$154=$Z$151),I170,0)+IF(AND($M$155=$Y$150, $M$154=$Z$151),L170,0)+IF(AND($P$155=$Y$150, $P$154=$Z$151),O170,0)))</f>
        <v>0</v>
      </c>
      <c r="AA163" s="171">
        <f>IF('Indata byggnad och BBR krav'!$C$18=0,0,(IF(AND(J$155=$Y$150, $J$154=$AA$151),I170,0)+IF(AND($M$155=$Y$150, $M$154=$AA$151),L170,0)+IF(AND($P$155=$Y$150, $P$154=$AA$151),O170,0)))</f>
        <v>0</v>
      </c>
      <c r="AB163" s="239">
        <f t="shared" si="283"/>
        <v>0</v>
      </c>
      <c r="AD163" s="165">
        <f t="shared" si="277"/>
        <v>0</v>
      </c>
      <c r="AE163" s="165">
        <f t="shared" si="278"/>
        <v>0</v>
      </c>
      <c r="AF163" s="165">
        <f t="shared" si="279"/>
        <v>0</v>
      </c>
      <c r="AG163" s="239">
        <f t="shared" si="280"/>
        <v>0</v>
      </c>
      <c r="AH163" s="175"/>
      <c r="AJ163" s="165">
        <f>IF('Indata byggnad och BBR krav'!$C$17=0,0,IF(AND($AJ$151="El",$D$107="Ingår i mätdata hushållsel"),AD163-AO116,AD163))</f>
        <v>0</v>
      </c>
      <c r="AK163" s="165">
        <f>IF('Indata byggnad och BBR krav'!$C$17=0,0,IF(AND($AK$151="El",$D$107="Ingår i mätdata hushållsel"),AE163-AO116,AE163))</f>
        <v>0</v>
      </c>
      <c r="AL163" s="165">
        <f>IF('Indata byggnad och BBR krav'!$C$17=0,0,IF(AND(AL162="El",$D$107="Ingår i mätdata hushållsel"),AF163-AO116,AF163))</f>
        <v>0</v>
      </c>
      <c r="AM163" s="239">
        <f t="shared" si="281"/>
        <v>0</v>
      </c>
      <c r="AN163" s="237" t="str">
        <f t="shared" si="284"/>
        <v/>
      </c>
      <c r="AO163" s="175"/>
      <c r="AP163" s="175"/>
      <c r="AQ163" s="175"/>
      <c r="AR163" s="175"/>
      <c r="AS163" s="175"/>
      <c r="AT163" s="175"/>
      <c r="AU163" s="175"/>
      <c r="AV163" s="175"/>
      <c r="AW163" s="175"/>
      <c r="AX163" s="175"/>
      <c r="BB163" s="50">
        <f t="shared" si="274"/>
        <v>0</v>
      </c>
      <c r="BC163" s="50">
        <f t="shared" si="275"/>
        <v>0</v>
      </c>
      <c r="BD163" s="50">
        <f t="shared" si="276"/>
        <v>0</v>
      </c>
      <c r="BE163" s="50">
        <f t="shared" si="282"/>
        <v>0</v>
      </c>
      <c r="BV163" s="82"/>
    </row>
    <row r="164" spans="2:75" ht="16.5" customHeight="1" thickTop="1" thickBot="1" x14ac:dyDescent="0.3">
      <c r="F164" s="249">
        <f t="shared" ca="1" si="289"/>
        <v>2021</v>
      </c>
      <c r="G164" s="249" t="str">
        <f t="shared" ca="1" si="285"/>
        <v xml:space="preserve">jun </v>
      </c>
      <c r="H164" s="3"/>
      <c r="I164" s="41">
        <f t="shared" si="286"/>
        <v>0</v>
      </c>
      <c r="J164" s="259"/>
      <c r="K164" s="2"/>
      <c r="L164" s="41">
        <f t="shared" si="287"/>
        <v>0</v>
      </c>
      <c r="M164" s="259"/>
      <c r="N164" s="2"/>
      <c r="O164" s="41">
        <f t="shared" si="288"/>
        <v>0</v>
      </c>
      <c r="P164" s="259"/>
      <c r="Q164" s="2"/>
      <c r="R164" s="2"/>
      <c r="S164" s="2"/>
      <c r="T164" s="2"/>
      <c r="U164" s="2"/>
      <c r="V164" s="2"/>
      <c r="X164" s="110" t="s">
        <v>1098</v>
      </c>
      <c r="Y164" s="167">
        <f>SUM(Y152:Y163)</f>
        <v>0</v>
      </c>
      <c r="Z164" s="79">
        <f>SUM(Z152:Z163)</f>
        <v>0</v>
      </c>
      <c r="AA164" s="81">
        <f>SUM(AA152:AA163)</f>
        <v>0</v>
      </c>
      <c r="AB164" s="170">
        <f>SUM(AB152:AB163)</f>
        <v>0</v>
      </c>
      <c r="AD164" s="167">
        <f>SUM(AD152:AD163)</f>
        <v>0</v>
      </c>
      <c r="AE164" s="167">
        <f>SUM(AE152:AE163)</f>
        <v>0</v>
      </c>
      <c r="AF164" s="81">
        <f>SUM(AF152:AF163)</f>
        <v>0</v>
      </c>
      <c r="AG164" s="72">
        <f>SUM(AG152:AG163)</f>
        <v>0</v>
      </c>
      <c r="AH164" s="175"/>
      <c r="AJ164" s="167">
        <f>SUM(AJ152:AJ163)</f>
        <v>0</v>
      </c>
      <c r="AK164" s="167">
        <f>SUM(AK152:AK163)</f>
        <v>0</v>
      </c>
      <c r="AL164" s="81">
        <f>SUM(AL152:AL163)</f>
        <v>0</v>
      </c>
      <c r="AM164" s="72">
        <f>SUM(AM152:AM163)</f>
        <v>0</v>
      </c>
      <c r="AN164" s="175"/>
      <c r="AO164" s="175"/>
      <c r="AP164" s="175"/>
      <c r="AQ164" s="175"/>
      <c r="AR164" s="175"/>
      <c r="AS164" s="175"/>
      <c r="AT164" s="175"/>
      <c r="AU164" s="175"/>
      <c r="AV164" s="175"/>
      <c r="AW164" s="175"/>
      <c r="AX164" s="175"/>
      <c r="BA164" s="24" t="s">
        <v>1098</v>
      </c>
      <c r="BB164" s="52">
        <f>SUM(BB152:BB163)</f>
        <v>0</v>
      </c>
      <c r="BC164" s="77">
        <f>SUM(BC152:BC163)</f>
        <v>0</v>
      </c>
      <c r="BD164" s="77">
        <f>SUM(BD152:BD163)</f>
        <v>0</v>
      </c>
      <c r="BE164" s="52">
        <f>SUM(BE152:BE163)</f>
        <v>0</v>
      </c>
    </row>
    <row r="165" spans="2:75" ht="16.5" customHeight="1" thickBot="1" x14ac:dyDescent="0.3">
      <c r="F165" s="249">
        <f t="shared" ca="1" si="289"/>
        <v>2021</v>
      </c>
      <c r="G165" s="249" t="str">
        <f t="shared" ca="1" si="285"/>
        <v>jul</v>
      </c>
      <c r="H165" s="3"/>
      <c r="I165" s="41">
        <f t="shared" si="286"/>
        <v>0</v>
      </c>
      <c r="J165" s="259"/>
      <c r="K165" s="2"/>
      <c r="L165" s="41">
        <f t="shared" si="287"/>
        <v>0</v>
      </c>
      <c r="M165" s="259"/>
      <c r="N165" s="2"/>
      <c r="O165" s="41">
        <f t="shared" si="288"/>
        <v>0</v>
      </c>
      <c r="P165" s="259"/>
      <c r="Q165" s="2"/>
      <c r="R165" s="2"/>
      <c r="S165" s="2"/>
      <c r="T165" s="2"/>
      <c r="U165" s="2"/>
      <c r="V165" s="2"/>
      <c r="Y165" s="128"/>
      <c r="AA165" s="110" t="s">
        <v>1372</v>
      </c>
      <c r="AB165" s="196">
        <f>IF('Indata byggnad och BBR krav'!$C$18&gt;0,AB164*1000/('Indata byggnad och BBR krav'!$C$16*'Indata byggnad och BBR krav'!$C$18/100),0)</f>
        <v>0</v>
      </c>
      <c r="AC165" s="182" t="s">
        <v>1373</v>
      </c>
      <c r="AG165" s="175"/>
      <c r="AH165" s="175"/>
      <c r="AI165" s="175"/>
      <c r="AJ165" s="175"/>
      <c r="AK165" s="175"/>
      <c r="AL165" s="175"/>
      <c r="AM165" s="175"/>
      <c r="AN165" s="175"/>
      <c r="AO165" s="175"/>
      <c r="AP165" s="175"/>
      <c r="AQ165" s="175"/>
      <c r="AR165" s="175"/>
      <c r="AS165" s="175"/>
      <c r="AT165" s="175"/>
      <c r="AU165" s="175"/>
      <c r="AV165" s="175"/>
      <c r="AW165" s="175"/>
      <c r="AX165" s="175"/>
      <c r="BA165" s="22"/>
      <c r="BB165" s="22"/>
      <c r="BC165" s="22"/>
      <c r="BD165" s="22"/>
      <c r="BE165" s="22"/>
    </row>
    <row r="166" spans="2:75" ht="16.5" customHeight="1" thickBot="1" x14ac:dyDescent="0.3">
      <c r="F166" s="249">
        <f t="shared" ca="1" si="289"/>
        <v>2021</v>
      </c>
      <c r="G166" s="249" t="str">
        <f t="shared" ca="1" si="285"/>
        <v>aug</v>
      </c>
      <c r="H166" s="3"/>
      <c r="I166" s="41">
        <f t="shared" si="286"/>
        <v>0</v>
      </c>
      <c r="J166" s="259"/>
      <c r="K166" s="2"/>
      <c r="L166" s="41">
        <f t="shared" si="287"/>
        <v>0</v>
      </c>
      <c r="M166" s="259"/>
      <c r="N166" s="2"/>
      <c r="O166" s="41">
        <f t="shared" si="288"/>
        <v>0</v>
      </c>
      <c r="P166" s="259"/>
      <c r="Q166" s="2"/>
      <c r="R166" s="2"/>
      <c r="S166" s="2"/>
      <c r="T166" s="2"/>
      <c r="U166" s="2"/>
      <c r="V166" s="2"/>
      <c r="BC166" s="24" t="s">
        <v>1163</v>
      </c>
      <c r="BD166" s="170">
        <f>IF('Indata byggnad och BBR krav'!$C$17&gt;0,BE164*1000/('Indata byggnad och BBR krav'!$C$16*'Indata byggnad och BBR krav'!$C$17/100),0)</f>
        <v>0</v>
      </c>
      <c r="BE166" s="25" t="s">
        <v>1301</v>
      </c>
    </row>
    <row r="167" spans="2:75" ht="16.5" customHeight="1" x14ac:dyDescent="0.25">
      <c r="F167" s="249">
        <f t="shared" ca="1" si="289"/>
        <v>2021</v>
      </c>
      <c r="G167" s="249" t="str">
        <f t="shared" ca="1" si="285"/>
        <v>sept</v>
      </c>
      <c r="H167" s="3"/>
      <c r="I167" s="41">
        <f t="shared" si="286"/>
        <v>0</v>
      </c>
      <c r="J167" s="259"/>
      <c r="K167" s="2"/>
      <c r="L167" s="41">
        <f t="shared" si="287"/>
        <v>0</v>
      </c>
      <c r="M167" s="259"/>
      <c r="N167" s="2"/>
      <c r="O167" s="41">
        <f t="shared" si="288"/>
        <v>0</v>
      </c>
      <c r="P167" s="259"/>
      <c r="Q167" s="2"/>
      <c r="R167" s="2"/>
      <c r="S167" s="2"/>
      <c r="T167" s="2"/>
      <c r="U167" s="2"/>
      <c r="V167" s="2"/>
      <c r="BC167" s="24" t="s">
        <v>1164</v>
      </c>
      <c r="BD167" s="52">
        <v>30</v>
      </c>
      <c r="BE167" s="22"/>
    </row>
    <row r="168" spans="2:75" ht="16.5" customHeight="1" x14ac:dyDescent="0.25">
      <c r="F168" s="249">
        <f t="shared" ca="1" si="289"/>
        <v>2021</v>
      </c>
      <c r="G168" s="249" t="str">
        <f t="shared" ca="1" si="285"/>
        <v>okt</v>
      </c>
      <c r="H168" s="3"/>
      <c r="I168" s="41">
        <f t="shared" si="286"/>
        <v>0</v>
      </c>
      <c r="J168" s="259"/>
      <c r="K168" s="2"/>
      <c r="L168" s="41">
        <f t="shared" si="287"/>
        <v>0</v>
      </c>
      <c r="M168" s="259"/>
      <c r="N168" s="2"/>
      <c r="O168" s="41">
        <f t="shared" si="288"/>
        <v>0</v>
      </c>
      <c r="P168" s="259"/>
      <c r="Q168" s="2"/>
      <c r="R168" s="2"/>
      <c r="S168" s="2"/>
      <c r="T168" s="2"/>
      <c r="U168" s="2"/>
      <c r="V168" s="2"/>
      <c r="BC168" s="24" t="s">
        <v>1166</v>
      </c>
      <c r="BD168" s="30">
        <f>IF(BD166&gt;0,BD166-BD167,0)</f>
        <v>0</v>
      </c>
      <c r="BE168" s="22"/>
    </row>
    <row r="169" spans="2:75" ht="16.5" customHeight="1" x14ac:dyDescent="0.25">
      <c r="F169" s="249">
        <f t="shared" ca="1" si="289"/>
        <v>2021</v>
      </c>
      <c r="G169" s="249" t="str">
        <f t="shared" ca="1" si="285"/>
        <v>nov</v>
      </c>
      <c r="H169" s="3"/>
      <c r="I169" s="41">
        <f t="shared" si="286"/>
        <v>0</v>
      </c>
      <c r="J169" s="259"/>
      <c r="K169" s="2"/>
      <c r="L169" s="41">
        <f t="shared" si="287"/>
        <v>0</v>
      </c>
      <c r="M169" s="259"/>
      <c r="N169" s="2"/>
      <c r="O169" s="41">
        <f t="shared" si="288"/>
        <v>0</v>
      </c>
      <c r="P169" s="259"/>
      <c r="Q169" s="2"/>
      <c r="R169" s="2"/>
      <c r="S169" s="2"/>
      <c r="T169" s="2"/>
      <c r="U169" s="2"/>
      <c r="V169" s="2"/>
      <c r="Y169" s="86"/>
      <c r="BC169" s="24" t="s">
        <v>1165</v>
      </c>
      <c r="BD169" s="32" t="str">
        <f>IF(ABS(BD168)&gt;3,"Ja","Nej")</f>
        <v>Nej</v>
      </c>
    </row>
    <row r="170" spans="2:75" ht="16.5" customHeight="1" x14ac:dyDescent="0.25">
      <c r="F170" s="249">
        <f t="shared" ca="1" si="289"/>
        <v>2021</v>
      </c>
      <c r="G170" s="249" t="str">
        <f t="shared" ca="1" si="285"/>
        <v>dec</v>
      </c>
      <c r="H170" s="3"/>
      <c r="I170" s="41">
        <f t="shared" si="286"/>
        <v>0</v>
      </c>
      <c r="J170" s="259"/>
      <c r="K170" s="2"/>
      <c r="L170" s="41">
        <f t="shared" si="287"/>
        <v>0</v>
      </c>
      <c r="M170" s="259"/>
      <c r="N170" s="2"/>
      <c r="O170" s="41">
        <f t="shared" si="288"/>
        <v>0</v>
      </c>
      <c r="P170" s="259"/>
      <c r="Q170" s="2"/>
      <c r="R170" s="2"/>
      <c r="S170" s="2"/>
      <c r="T170" s="2"/>
      <c r="U170" s="2"/>
      <c r="V170" s="2"/>
      <c r="Y170" s="86"/>
      <c r="BC170" s="24" t="s">
        <v>1167</v>
      </c>
      <c r="BD170" s="29">
        <f ca="1">$BK$31</f>
        <v>2880</v>
      </c>
      <c r="BE170" s="83"/>
      <c r="BF170" s="26"/>
    </row>
    <row r="171" spans="2:75" ht="16.5" customHeight="1" x14ac:dyDescent="0.25">
      <c r="E171" s="20"/>
      <c r="I171" s="51">
        <f>SUM(I159:I170)</f>
        <v>0</v>
      </c>
      <c r="J171" s="51">
        <f>SUM(J159:J170)</f>
        <v>0</v>
      </c>
      <c r="L171" s="51">
        <f>SUM(L159:L170)</f>
        <v>0</v>
      </c>
      <c r="M171" s="51">
        <f>SUM(M159:M170)</f>
        <v>0</v>
      </c>
      <c r="O171" s="51">
        <f>SUM(O159:O170)</f>
        <v>0</v>
      </c>
      <c r="P171" s="51">
        <f>SUM(P159:P170)</f>
        <v>0</v>
      </c>
      <c r="BC171" s="24" t="s">
        <v>1203</v>
      </c>
      <c r="BD171" s="29">
        <f>IF(BD169="Ja",BD168*0.7*'Indata byggnad och BBR krav'!$C$16*('Indata byggnad och BBR krav'!$C$17/100)*(BD170/8760),0)</f>
        <v>0</v>
      </c>
      <c r="BF171" s="26"/>
    </row>
    <row r="172" spans="2:75" ht="16.5" customHeight="1" x14ac:dyDescent="0.25">
      <c r="E172" s="20"/>
      <c r="G172" s="241" t="str">
        <f>IF(OR(AN153="Fel i indata",AN154="Fel i indata",AN155="Fel i indata",AN156="Fel i indata",AN157="Fel i indata",AN158="Fel i indata",AN159="Fel i indata",AN160="Fel i indata",AN161="Fel i indata",AN162="Fel i indata",AN163="Fel i indata",AN152="Fel i indata"),"Fel i indata","")</f>
        <v/>
      </c>
      <c r="I172" s="17" t="str">
        <f>IF(G172="Fel i indata","OBS! Se över din indata, energi för hushållssenergi blir negativ efter avdrag för elgolvvärme om mätvärdena ingår i uppmätt hushållsenergi!","")</f>
        <v/>
      </c>
      <c r="J172" s="17"/>
    </row>
    <row r="173" spans="2:75" ht="16.5" customHeight="1" x14ac:dyDescent="0.25">
      <c r="E173" s="20"/>
    </row>
    <row r="174" spans="2:75" ht="16.5" customHeight="1" x14ac:dyDescent="0.25">
      <c r="B174" s="254">
        <v>7</v>
      </c>
      <c r="C174" s="255" t="s">
        <v>1348</v>
      </c>
      <c r="D174" s="256"/>
      <c r="E174" s="257"/>
      <c r="F174" s="256"/>
      <c r="G174" s="256"/>
      <c r="H174" s="256"/>
      <c r="I174" s="256"/>
      <c r="J174" s="256"/>
      <c r="K174" s="256"/>
      <c r="L174" s="256"/>
      <c r="M174" s="257"/>
      <c r="N174" s="257"/>
      <c r="O174" s="257"/>
      <c r="P174" s="257"/>
      <c r="Q174" s="257"/>
      <c r="R174" s="257"/>
      <c r="S174" s="257"/>
      <c r="T174" s="257"/>
      <c r="U174" s="257"/>
      <c r="V174" s="257"/>
      <c r="W174" s="258"/>
    </row>
    <row r="175" spans="2:75" ht="16.5" hidden="1" customHeight="1" x14ac:dyDescent="0.25"/>
    <row r="176" spans="2:75" ht="21.75" customHeight="1" x14ac:dyDescent="0.25">
      <c r="C176" s="60"/>
      <c r="F176" s="152" t="s">
        <v>1354</v>
      </c>
    </row>
    <row r="177" spans="3:80" ht="17.25" customHeight="1" x14ac:dyDescent="0.25">
      <c r="C177" s="34" t="s">
        <v>1278</v>
      </c>
      <c r="D177" s="242" t="s">
        <v>1281</v>
      </c>
      <c r="F177" s="365"/>
      <c r="G177" s="366"/>
      <c r="H177" s="366"/>
      <c r="I177" s="366"/>
      <c r="J177" s="366"/>
      <c r="K177" s="366"/>
      <c r="L177" s="367"/>
    </row>
    <row r="178" spans="3:80" ht="17.25" customHeight="1" x14ac:dyDescent="0.25">
      <c r="F178" s="368"/>
      <c r="G178" s="369"/>
      <c r="H178" s="369"/>
      <c r="I178" s="369"/>
      <c r="J178" s="369"/>
      <c r="K178" s="369"/>
      <c r="L178" s="370"/>
    </row>
    <row r="179" spans="3:80" ht="17.25" customHeight="1" x14ac:dyDescent="0.25">
      <c r="C179" s="34" t="s">
        <v>1171</v>
      </c>
      <c r="D179" s="242" t="s">
        <v>1071</v>
      </c>
      <c r="F179" s="368"/>
      <c r="G179" s="369"/>
      <c r="H179" s="369"/>
      <c r="I179" s="369"/>
      <c r="J179" s="369"/>
      <c r="K179" s="369"/>
      <c r="L179" s="370"/>
    </row>
    <row r="180" spans="3:80" ht="17.25" customHeight="1" x14ac:dyDescent="0.25">
      <c r="C180" s="34" t="s">
        <v>1172</v>
      </c>
      <c r="D180" s="242" t="s">
        <v>1062</v>
      </c>
      <c r="F180" s="368"/>
      <c r="G180" s="369"/>
      <c r="H180" s="369"/>
      <c r="I180" s="369"/>
      <c r="J180" s="369"/>
      <c r="K180" s="369"/>
      <c r="L180" s="370"/>
    </row>
    <row r="181" spans="3:80" ht="17.25" customHeight="1" x14ac:dyDescent="0.25">
      <c r="F181" s="371"/>
      <c r="G181" s="372"/>
      <c r="H181" s="372"/>
      <c r="I181" s="372"/>
      <c r="J181" s="372"/>
      <c r="K181" s="372"/>
      <c r="L181" s="373"/>
    </row>
    <row r="182" spans="3:80" ht="17.25" customHeight="1" x14ac:dyDescent="0.25">
      <c r="C182" s="34" t="s">
        <v>1092</v>
      </c>
      <c r="D182" s="264"/>
    </row>
    <row r="183" spans="3:80" ht="17.25" customHeight="1" x14ac:dyDescent="0.35">
      <c r="C183" s="34" t="s">
        <v>1349</v>
      </c>
      <c r="D183" s="246"/>
    </row>
    <row r="184" spans="3:80" ht="17.25" customHeight="1" x14ac:dyDescent="0.25">
      <c r="C184" s="90" t="s">
        <v>1350</v>
      </c>
      <c r="D184" s="242"/>
      <c r="G184" s="3"/>
      <c r="H184" s="3"/>
      <c r="I184" s="3"/>
      <c r="J184" s="3"/>
      <c r="K184" s="3"/>
      <c r="L184" s="3"/>
    </row>
    <row r="185" spans="3:80" ht="17.25" customHeight="1" x14ac:dyDescent="0.25">
      <c r="D185" s="3"/>
    </row>
    <row r="186" spans="3:80" ht="17.25" customHeight="1" x14ac:dyDescent="0.25">
      <c r="C186" s="34" t="s">
        <v>1092</v>
      </c>
      <c r="D186" s="264"/>
    </row>
    <row r="187" spans="3:80" ht="17.25" customHeight="1" x14ac:dyDescent="0.35">
      <c r="C187" s="34" t="s">
        <v>1349</v>
      </c>
      <c r="D187" s="246"/>
      <c r="F187" s="17"/>
    </row>
    <row r="188" spans="3:80" ht="17.25" customHeight="1" x14ac:dyDescent="0.25">
      <c r="C188" s="90" t="s">
        <v>1350</v>
      </c>
      <c r="D188" s="242"/>
      <c r="BP188" s="91"/>
      <c r="BQ188" s="92"/>
      <c r="BU188" s="91"/>
      <c r="BV188" s="92"/>
    </row>
    <row r="189" spans="3:80" ht="17.25" customHeight="1" x14ac:dyDescent="0.25">
      <c r="D189" s="3"/>
      <c r="BP189" s="91"/>
      <c r="BQ189" s="92"/>
      <c r="CA189" s="91"/>
      <c r="CB189" s="92"/>
    </row>
    <row r="190" spans="3:80" ht="17.25" customHeight="1" x14ac:dyDescent="0.25">
      <c r="C190" s="34" t="s">
        <v>1092</v>
      </c>
      <c r="D190" s="264"/>
      <c r="BP190" s="91"/>
      <c r="BQ190" s="92"/>
      <c r="CA190" s="91"/>
      <c r="CB190" s="92"/>
    </row>
    <row r="191" spans="3:80" ht="17.25" customHeight="1" x14ac:dyDescent="0.35">
      <c r="C191" s="34" t="s">
        <v>1349</v>
      </c>
      <c r="D191" s="246"/>
    </row>
    <row r="192" spans="3:80" ht="17.25" customHeight="1" x14ac:dyDescent="0.25">
      <c r="C192" s="90" t="s">
        <v>1350</v>
      </c>
      <c r="D192" s="242"/>
    </row>
    <row r="193" spans="3:67" ht="17.25" customHeight="1" x14ac:dyDescent="0.25"/>
    <row r="194" spans="3:67" ht="17.25" customHeight="1" x14ac:dyDescent="0.25">
      <c r="C194" s="34" t="s">
        <v>1351</v>
      </c>
      <c r="D194" s="249">
        <f>('Indata byggnad och BBR krav'!$C$16*D183/100*D184+'Indata byggnad och BBR krav'!$C$16*D187/100*D188+'Indata byggnad och BBR krav'!$C$16*D191/100*D192)/'Indata byggnad och BBR krav'!$C$16</f>
        <v>0</v>
      </c>
    </row>
    <row r="195" spans="3:67" ht="17.25" customHeight="1" x14ac:dyDescent="0.25"/>
    <row r="196" spans="3:67" ht="17.25" customHeight="1" x14ac:dyDescent="0.25">
      <c r="C196" s="240" t="s">
        <v>1352</v>
      </c>
      <c r="D196" s="260">
        <f>IF('Indata byggnad och BBR krav'!$C$17&gt;0,IF('Indata byggnad och BBR krav'!$C$20="JA",22,21),"")</f>
        <v>21</v>
      </c>
    </row>
    <row r="197" spans="3:67" ht="17.25" hidden="1" customHeight="1" x14ac:dyDescent="0.25">
      <c r="D197" s="261"/>
    </row>
    <row r="198" spans="3:67" ht="17.25" customHeight="1" x14ac:dyDescent="0.25">
      <c r="C198" s="240" t="s">
        <v>1353</v>
      </c>
      <c r="D198" s="260">
        <v>21</v>
      </c>
    </row>
    <row r="200" spans="3:67" x14ac:dyDescent="0.25">
      <c r="D200" s="17" t="str">
        <f>IF(D183="","",(IF(OR((D183+D187+D191)&lt;100,(D183+D187+D191)&gt;100),"OBS! Summan av areaandel av Atemp i % ska vara 100%!","")))</f>
        <v/>
      </c>
      <c r="BB200" s="364" t="s">
        <v>1495</v>
      </c>
      <c r="BC200" s="364"/>
      <c r="BD200" s="364"/>
      <c r="BE200" s="364"/>
      <c r="BF200" s="364"/>
      <c r="BG200" s="364"/>
      <c r="BH200" s="364"/>
    </row>
    <row r="201" spans="3:67" x14ac:dyDescent="0.25">
      <c r="D201" s="17" t="str">
        <f>IF(D184="","",(IF(D194&lt;10,"OBS! Se över din indata, genomsnittlig inomhustemperatur kan inte vara lägre än 10 grader!","")))</f>
        <v/>
      </c>
      <c r="BB201" s="364"/>
      <c r="BC201" s="364"/>
      <c r="BD201" s="364"/>
      <c r="BE201" s="364"/>
      <c r="BF201" s="364"/>
      <c r="BG201" s="364"/>
      <c r="BH201" s="364"/>
    </row>
    <row r="202" spans="3:67" x14ac:dyDescent="0.25">
      <c r="AA202" s="86"/>
      <c r="BB202" s="364"/>
      <c r="BC202" s="364"/>
      <c r="BD202" s="364"/>
      <c r="BE202" s="364"/>
      <c r="BF202" s="364"/>
      <c r="BG202" s="364"/>
      <c r="BH202" s="364"/>
    </row>
    <row r="203" spans="3:67" x14ac:dyDescent="0.25">
      <c r="AA203" s="128"/>
      <c r="AC203" s="86"/>
    </row>
    <row r="204" spans="3:67" x14ac:dyDescent="0.25">
      <c r="AA204" s="86" t="s">
        <v>1197</v>
      </c>
      <c r="BD204" s="21"/>
      <c r="BE204" s="21" t="s">
        <v>1400</v>
      </c>
      <c r="BG204" s="21"/>
      <c r="BL204" s="21" t="s">
        <v>1401</v>
      </c>
    </row>
    <row r="205" spans="3:67" x14ac:dyDescent="0.25">
      <c r="BM205" s="26" t="s">
        <v>1402</v>
      </c>
    </row>
    <row r="206" spans="3:67" ht="14.45" customHeight="1" x14ac:dyDescent="0.25">
      <c r="AE206" s="84" t="s">
        <v>1402</v>
      </c>
      <c r="BB206" s="363" t="s">
        <v>1493</v>
      </c>
      <c r="BC206" s="363"/>
      <c r="BD206" s="363"/>
      <c r="BF206" s="363" t="s">
        <v>1494</v>
      </c>
      <c r="BG206" s="363"/>
    </row>
    <row r="207" spans="3:67" ht="18.75" x14ac:dyDescent="0.25">
      <c r="Z207" s="93" t="s">
        <v>1147</v>
      </c>
      <c r="AD207" s="94" t="s">
        <v>27</v>
      </c>
      <c r="BB207" s="363"/>
      <c r="BC207" s="363"/>
      <c r="BD207" s="363"/>
      <c r="BF207" s="363"/>
      <c r="BG207" s="363"/>
      <c r="BK207" s="328" t="s">
        <v>1493</v>
      </c>
      <c r="BO207" s="321" t="s">
        <v>1494</v>
      </c>
    </row>
    <row r="208" spans="3:67" ht="18" x14ac:dyDescent="0.25">
      <c r="AF208" s="96"/>
      <c r="BC208" s="95" t="s">
        <v>1131</v>
      </c>
      <c r="BF208" s="95" t="s">
        <v>1131</v>
      </c>
      <c r="BJ208" s="95" t="s">
        <v>28</v>
      </c>
      <c r="BN208" s="95" t="s">
        <v>28</v>
      </c>
    </row>
    <row r="209" spans="26:68" ht="15.75" x14ac:dyDescent="0.25">
      <c r="Z209" s="97" t="s">
        <v>21</v>
      </c>
      <c r="AA209" s="98">
        <f>AA211+AA212+AA213+AA214</f>
        <v>0</v>
      </c>
      <c r="AD209" s="99" t="s">
        <v>21</v>
      </c>
      <c r="AE209" s="100">
        <f>AE211+AE212+AE213+AE214</f>
        <v>0</v>
      </c>
      <c r="AF209" s="101"/>
    </row>
    <row r="210" spans="26:68" x14ac:dyDescent="0.25">
      <c r="Z210" s="104" t="s">
        <v>29</v>
      </c>
      <c r="AA210" s="105"/>
      <c r="AD210" s="104" t="s">
        <v>29</v>
      </c>
      <c r="AE210" s="105"/>
      <c r="AF210" s="96"/>
      <c r="BC210" s="102" t="s">
        <v>21</v>
      </c>
      <c r="BD210" s="30">
        <f ca="1">BD212+BD213+BD214+BD215</f>
        <v>0</v>
      </c>
      <c r="BF210" s="102" t="s">
        <v>21</v>
      </c>
      <c r="BG210" s="30">
        <f ca="1">BG212+BG213+BG214+BG215</f>
        <v>0</v>
      </c>
      <c r="BJ210" s="102" t="s">
        <v>21</v>
      </c>
      <c r="BK210" s="103">
        <f ca="1">BK212+BK213+BK214+BK215</f>
        <v>0</v>
      </c>
      <c r="BN210" s="102" t="s">
        <v>21</v>
      </c>
      <c r="BO210" s="103">
        <f ca="1">BO212+BO213+BO214+BO215</f>
        <v>0</v>
      </c>
    </row>
    <row r="211" spans="26:68" ht="15.75" x14ac:dyDescent="0.25">
      <c r="Z211" s="109" t="s">
        <v>22</v>
      </c>
      <c r="AA211" s="98">
        <f>$AL$37+$AO$117</f>
        <v>0</v>
      </c>
      <c r="AD211" s="110" t="s">
        <v>22</v>
      </c>
      <c r="AE211" s="100">
        <f>AA211/'Indata byggnad och BBR krav'!$C$16*1000</f>
        <v>0</v>
      </c>
      <c r="AF211" s="96"/>
      <c r="BC211" s="106" t="s">
        <v>29</v>
      </c>
      <c r="BD211" s="107"/>
      <c r="BF211" s="106" t="s">
        <v>29</v>
      </c>
      <c r="BG211" s="107"/>
      <c r="BJ211" s="106" t="s">
        <v>29</v>
      </c>
      <c r="BK211" s="108"/>
      <c r="BN211" s="106" t="s">
        <v>29</v>
      </c>
      <c r="BO211" s="108"/>
    </row>
    <row r="212" spans="26:68" ht="15.75" x14ac:dyDescent="0.25">
      <c r="Z212" s="109" t="s">
        <v>23</v>
      </c>
      <c r="AA212" s="98">
        <f>$AL$62</f>
        <v>0</v>
      </c>
      <c r="AD212" s="109" t="s">
        <v>23</v>
      </c>
      <c r="AE212" s="100">
        <f>AA212/'Indata byggnad och BBR krav'!$C$16*1000</f>
        <v>0</v>
      </c>
      <c r="AF212" s="96"/>
      <c r="BC212" s="24" t="s">
        <v>22</v>
      </c>
      <c r="BD212" s="30">
        <f ca="1">$DI$40</f>
        <v>0</v>
      </c>
      <c r="BF212" s="24" t="s">
        <v>22</v>
      </c>
      <c r="BG212" s="30">
        <f ca="1">$DR$40</f>
        <v>0</v>
      </c>
      <c r="BJ212" s="24" t="s">
        <v>22</v>
      </c>
      <c r="BK212" s="103">
        <f ca="1">BD212/'Indata byggnad och BBR krav'!$C$16*1000</f>
        <v>0</v>
      </c>
      <c r="BN212" s="24" t="s">
        <v>22</v>
      </c>
      <c r="BO212" s="103">
        <f ca="1">BG212/'Indata byggnad och BBR krav'!$C$16*1000</f>
        <v>0</v>
      </c>
    </row>
    <row r="213" spans="26:68" ht="15.75" x14ac:dyDescent="0.25">
      <c r="Z213" s="109" t="s">
        <v>24</v>
      </c>
      <c r="AA213" s="98">
        <f>$AA$95</f>
        <v>0</v>
      </c>
      <c r="AD213" s="109" t="s">
        <v>24</v>
      </c>
      <c r="AE213" s="100">
        <f>AA213/'Indata byggnad och BBR krav'!$C$16*1000</f>
        <v>0</v>
      </c>
      <c r="AF213" s="96"/>
      <c r="BC213" s="111" t="s">
        <v>23</v>
      </c>
      <c r="BD213" s="30">
        <f>$BG$59</f>
        <v>0</v>
      </c>
      <c r="BF213" s="111" t="s">
        <v>23</v>
      </c>
      <c r="BG213" s="30">
        <f>$BP$59</f>
        <v>0</v>
      </c>
      <c r="BJ213" s="111" t="s">
        <v>23</v>
      </c>
      <c r="BK213" s="103">
        <f>BD213/'Indata byggnad och BBR krav'!$C$16*1000</f>
        <v>0</v>
      </c>
      <c r="BN213" s="111" t="s">
        <v>23</v>
      </c>
      <c r="BO213" s="103">
        <f>BG213/'Indata byggnad och BBR krav'!$C$16*1000</f>
        <v>0</v>
      </c>
    </row>
    <row r="214" spans="26:68" ht="15.75" x14ac:dyDescent="0.25">
      <c r="Z214" s="109" t="s">
        <v>18</v>
      </c>
      <c r="AA214" s="98">
        <f>$AJ$117</f>
        <v>0</v>
      </c>
      <c r="AD214" s="109" t="s">
        <v>18</v>
      </c>
      <c r="AE214" s="100">
        <f>AA214/'Indata byggnad och BBR krav'!$C$16*1000</f>
        <v>0</v>
      </c>
      <c r="BC214" s="111" t="s">
        <v>24</v>
      </c>
      <c r="BD214" s="30">
        <f>$BD$92</f>
        <v>0</v>
      </c>
      <c r="BF214" s="111" t="s">
        <v>24</v>
      </c>
      <c r="BG214" s="30">
        <f>$BN$91</f>
        <v>0</v>
      </c>
      <c r="BJ214" s="111" t="s">
        <v>24</v>
      </c>
      <c r="BK214" s="103">
        <f>BD214/'Indata byggnad och BBR krav'!$C$16*1000</f>
        <v>0</v>
      </c>
      <c r="BN214" s="111" t="s">
        <v>24</v>
      </c>
      <c r="BO214" s="103">
        <f>BG214/'Indata byggnad och BBR krav'!$C$16*1000</f>
        <v>0</v>
      </c>
    </row>
    <row r="215" spans="26:68" ht="15.75" x14ac:dyDescent="0.25">
      <c r="BC215" s="111" t="s">
        <v>18</v>
      </c>
      <c r="BD215" s="30">
        <f>$BE$122</f>
        <v>0</v>
      </c>
      <c r="BF215" s="111" t="s">
        <v>18</v>
      </c>
      <c r="BG215" s="30">
        <f>$BO$122</f>
        <v>0</v>
      </c>
      <c r="BJ215" s="111" t="s">
        <v>18</v>
      </c>
      <c r="BK215" s="103">
        <f>BD215/'Indata byggnad och BBR krav'!$C$16*1000</f>
        <v>0</v>
      </c>
      <c r="BN215" s="111" t="s">
        <v>18</v>
      </c>
      <c r="BO215" s="103">
        <f>BG215/'Indata byggnad och BBR krav'!$C$16*1000</f>
        <v>0</v>
      </c>
    </row>
    <row r="216" spans="26:68" x14ac:dyDescent="0.25">
      <c r="BD216" s="27"/>
      <c r="BG216" s="27"/>
      <c r="BK216" s="22"/>
      <c r="BO216" s="22"/>
    </row>
    <row r="217" spans="26:68" x14ac:dyDescent="0.25">
      <c r="BD217" s="27"/>
      <c r="BG217" s="27"/>
      <c r="BK217" s="22"/>
      <c r="BO217" s="22"/>
    </row>
    <row r="218" spans="26:68" ht="18" x14ac:dyDescent="0.25">
      <c r="BC218" s="91" t="s">
        <v>1424</v>
      </c>
      <c r="BD218" s="30">
        <f ca="1">$DI$42+$BG$60+$BD$93+$BE$123</f>
        <v>0</v>
      </c>
      <c r="BE218" s="16" t="s">
        <v>1237</v>
      </c>
      <c r="BF218" s="91"/>
      <c r="BG218" s="91"/>
      <c r="BJ218" s="91" t="s">
        <v>1111</v>
      </c>
      <c r="BK218" s="103">
        <f ca="1">BD218/'Indata byggnad och BBR krav'!$C$16*1000</f>
        <v>0</v>
      </c>
      <c r="BL218" s="16" t="s">
        <v>1237</v>
      </c>
      <c r="BN218" s="91"/>
      <c r="BO218" s="91"/>
    </row>
    <row r="219" spans="26:68" ht="18" x14ac:dyDescent="0.25">
      <c r="BC219" s="91" t="s">
        <v>1424</v>
      </c>
      <c r="BD219" s="30">
        <f ca="1">$DI$43+$BG$61+$BD$94+$BE$124</f>
        <v>0</v>
      </c>
      <c r="BE219" s="16" t="s">
        <v>1239</v>
      </c>
      <c r="BF219" s="91" t="s">
        <v>1424</v>
      </c>
      <c r="BG219" s="30">
        <f ca="1">$DR$43+$BP$61+$BN$93+$BO$124</f>
        <v>0</v>
      </c>
      <c r="BH219" s="16" t="s">
        <v>1239</v>
      </c>
      <c r="BJ219" s="91" t="s">
        <v>1111</v>
      </c>
      <c r="BK219" s="103">
        <f ca="1">BD219/'Indata byggnad och BBR krav'!$C$16*1000</f>
        <v>0</v>
      </c>
      <c r="BL219" s="16" t="s">
        <v>1239</v>
      </c>
      <c r="BN219" s="91" t="s">
        <v>1111</v>
      </c>
      <c r="BO219" s="103">
        <f ca="1">BG219/'Indata byggnad och BBR krav'!$C$16*1000</f>
        <v>0</v>
      </c>
      <c r="BP219" s="16" t="s">
        <v>1239</v>
      </c>
    </row>
    <row r="221" spans="26:68" x14ac:dyDescent="0.25">
      <c r="BF221" s="187" t="s">
        <v>1395</v>
      </c>
      <c r="BN221" s="187" t="s">
        <v>1395</v>
      </c>
    </row>
    <row r="223" spans="26:68" x14ac:dyDescent="0.25">
      <c r="BE223" s="21"/>
      <c r="BI223" s="286"/>
      <c r="BJ223" s="287"/>
      <c r="BK223" s="288"/>
      <c r="BL223" s="289" t="s">
        <v>1407</v>
      </c>
      <c r="BM223" s="290"/>
      <c r="BN223" s="287"/>
      <c r="BO223" s="287"/>
      <c r="BP223" s="291"/>
    </row>
    <row r="224" spans="26:68" x14ac:dyDescent="0.25">
      <c r="BI224" s="292"/>
      <c r="BL224" s="26" t="s">
        <v>1402</v>
      </c>
      <c r="BP224" s="293"/>
    </row>
    <row r="225" spans="61:68" x14ac:dyDescent="0.25">
      <c r="BI225" s="292"/>
      <c r="BJ225" s="185"/>
      <c r="BK225" s="328" t="s">
        <v>1493</v>
      </c>
      <c r="BO225" s="321" t="s">
        <v>1494</v>
      </c>
      <c r="BP225" s="293"/>
    </row>
    <row r="226" spans="61:68" x14ac:dyDescent="0.25">
      <c r="BI226" s="292"/>
      <c r="BJ226" s="95" t="s">
        <v>1408</v>
      </c>
      <c r="BN226" s="95" t="s">
        <v>1408</v>
      </c>
      <c r="BP226" s="293"/>
    </row>
    <row r="227" spans="61:68" x14ac:dyDescent="0.25">
      <c r="BI227" s="292"/>
      <c r="BP227" s="293"/>
    </row>
    <row r="228" spans="61:68" x14ac:dyDescent="0.25">
      <c r="BI228" s="292"/>
      <c r="BJ228" s="102" t="s">
        <v>21</v>
      </c>
      <c r="BK228" s="285">
        <f ca="1">BK230+BK231+BK232+BK233</f>
        <v>0</v>
      </c>
      <c r="BN228" s="102" t="s">
        <v>21</v>
      </c>
      <c r="BO228" s="285">
        <f ca="1">BO230+BO231+BO232+BO233</f>
        <v>0</v>
      </c>
      <c r="BP228" s="293"/>
    </row>
    <row r="229" spans="61:68" x14ac:dyDescent="0.25">
      <c r="BI229" s="292"/>
      <c r="BJ229" s="106" t="s">
        <v>29</v>
      </c>
      <c r="BK229" s="108"/>
      <c r="BN229" s="106" t="s">
        <v>29</v>
      </c>
      <c r="BO229" s="108"/>
      <c r="BP229" s="293"/>
    </row>
    <row r="230" spans="61:68" x14ac:dyDescent="0.25">
      <c r="BI230" s="292"/>
      <c r="BJ230" s="24" t="s">
        <v>22</v>
      </c>
      <c r="BK230" s="103">
        <f ca="1">$DI$46</f>
        <v>0</v>
      </c>
      <c r="BN230" s="24" t="s">
        <v>22</v>
      </c>
      <c r="BO230" s="103">
        <f ca="1">$DR$46</f>
        <v>0</v>
      </c>
      <c r="BP230" s="293"/>
    </row>
    <row r="231" spans="61:68" ht="15.75" x14ac:dyDescent="0.25">
      <c r="BI231" s="292"/>
      <c r="BJ231" s="111" t="s">
        <v>23</v>
      </c>
      <c r="BK231" s="103">
        <f>$BG$64</f>
        <v>0</v>
      </c>
      <c r="BN231" s="111" t="s">
        <v>23</v>
      </c>
      <c r="BO231" s="103">
        <f>$BP$64</f>
        <v>0</v>
      </c>
      <c r="BP231" s="293"/>
    </row>
    <row r="232" spans="61:68" ht="15.75" x14ac:dyDescent="0.25">
      <c r="BI232" s="292"/>
      <c r="BJ232" s="111" t="s">
        <v>24</v>
      </c>
      <c r="BK232" s="103">
        <f>$BD$98</f>
        <v>0</v>
      </c>
      <c r="BN232" s="111" t="s">
        <v>24</v>
      </c>
      <c r="BO232" s="103">
        <f>$BN$98</f>
        <v>0</v>
      </c>
      <c r="BP232" s="293"/>
    </row>
    <row r="233" spans="61:68" ht="15.75" x14ac:dyDescent="0.25">
      <c r="BI233" s="292"/>
      <c r="BJ233" s="111" t="s">
        <v>18</v>
      </c>
      <c r="BK233" s="103">
        <f>$BE$127</f>
        <v>0</v>
      </c>
      <c r="BN233" s="111" t="s">
        <v>18</v>
      </c>
      <c r="BO233" s="103">
        <f>BO127</f>
        <v>0</v>
      </c>
      <c r="BP233" s="293"/>
    </row>
    <row r="234" spans="61:68" x14ac:dyDescent="0.25">
      <c r="BI234" s="292"/>
      <c r="BP234" s="293"/>
    </row>
    <row r="235" spans="61:68" x14ac:dyDescent="0.25">
      <c r="BI235" s="292"/>
      <c r="BP235" s="293"/>
    </row>
    <row r="236" spans="61:68" x14ac:dyDescent="0.25">
      <c r="BI236" s="292"/>
      <c r="BJ236" s="185"/>
      <c r="BN236" s="185"/>
      <c r="BP236" s="293"/>
    </row>
    <row r="237" spans="61:68" x14ac:dyDescent="0.25">
      <c r="BI237" s="292"/>
      <c r="BJ237" s="95" t="s">
        <v>1448</v>
      </c>
      <c r="BN237" s="95" t="s">
        <v>1448</v>
      </c>
      <c r="BP237" s="293"/>
    </row>
    <row r="238" spans="61:68" x14ac:dyDescent="0.25">
      <c r="BI238" s="292"/>
      <c r="BP238" s="293"/>
    </row>
    <row r="239" spans="61:68" x14ac:dyDescent="0.25">
      <c r="BI239" s="292"/>
      <c r="BJ239" s="102" t="s">
        <v>21</v>
      </c>
      <c r="BK239" s="285">
        <f ca="1">BK241+BK242+BK243+BK244</f>
        <v>0</v>
      </c>
      <c r="BN239" s="102" t="s">
        <v>21</v>
      </c>
      <c r="BO239" s="285">
        <f ca="1">BO241+BO242+BO243+BO244</f>
        <v>0</v>
      </c>
      <c r="BP239" s="293"/>
    </row>
    <row r="240" spans="61:68" x14ac:dyDescent="0.25">
      <c r="BI240" s="292"/>
      <c r="BJ240" s="106" t="s">
        <v>29</v>
      </c>
      <c r="BK240" s="108"/>
      <c r="BN240" s="106" t="s">
        <v>29</v>
      </c>
      <c r="BO240" s="108"/>
      <c r="BP240" s="293"/>
    </row>
    <row r="241" spans="61:68" x14ac:dyDescent="0.25">
      <c r="BI241" s="292"/>
      <c r="BJ241" s="24" t="s">
        <v>22</v>
      </c>
      <c r="BK241" s="103">
        <f ca="1">$DI$47</f>
        <v>0</v>
      </c>
      <c r="BN241" s="24" t="s">
        <v>22</v>
      </c>
      <c r="BO241" s="103">
        <f ca="1">$DR$47</f>
        <v>0</v>
      </c>
      <c r="BP241" s="293"/>
    </row>
    <row r="242" spans="61:68" ht="15.75" x14ac:dyDescent="0.25">
      <c r="BI242" s="292"/>
      <c r="BJ242" s="111" t="s">
        <v>23</v>
      </c>
      <c r="BK242" s="103">
        <f>$BG$65</f>
        <v>0</v>
      </c>
      <c r="BN242" s="111" t="s">
        <v>23</v>
      </c>
      <c r="BO242" s="103">
        <f>$BP$65</f>
        <v>0</v>
      </c>
      <c r="BP242" s="293"/>
    </row>
    <row r="243" spans="61:68" ht="15.75" x14ac:dyDescent="0.25">
      <c r="BI243" s="292"/>
      <c r="BJ243" s="111" t="s">
        <v>24</v>
      </c>
      <c r="BK243" s="103">
        <f>$BD$99</f>
        <v>0</v>
      </c>
      <c r="BN243" s="111" t="s">
        <v>24</v>
      </c>
      <c r="BO243" s="103">
        <f>$BN$99</f>
        <v>0</v>
      </c>
      <c r="BP243" s="293"/>
    </row>
    <row r="244" spans="61:68" ht="15.75" x14ac:dyDescent="0.25">
      <c r="BI244" s="292"/>
      <c r="BJ244" s="111" t="s">
        <v>18</v>
      </c>
      <c r="BK244" s="103">
        <f>$BE$128</f>
        <v>0</v>
      </c>
      <c r="BN244" s="111" t="s">
        <v>18</v>
      </c>
      <c r="BO244" s="103">
        <f>BO128</f>
        <v>0</v>
      </c>
      <c r="BP244" s="293"/>
    </row>
    <row r="245" spans="61:68" x14ac:dyDescent="0.25">
      <c r="BI245" s="292"/>
      <c r="BP245" s="293"/>
    </row>
    <row r="246" spans="61:68" x14ac:dyDescent="0.25">
      <c r="BI246" s="292"/>
      <c r="BP246" s="293"/>
    </row>
    <row r="247" spans="61:68" x14ac:dyDescent="0.25">
      <c r="BI247" s="292"/>
      <c r="BJ247" s="185"/>
      <c r="BN247" s="185"/>
      <c r="BP247" s="293"/>
    </row>
    <row r="248" spans="61:68" x14ac:dyDescent="0.25">
      <c r="BI248" s="292"/>
      <c r="BJ248" s="95" t="s">
        <v>1449</v>
      </c>
      <c r="BN248" s="95" t="s">
        <v>1449</v>
      </c>
      <c r="BP248" s="293"/>
    </row>
    <row r="249" spans="61:68" x14ac:dyDescent="0.25">
      <c r="BI249" s="292"/>
      <c r="BP249" s="293"/>
    </row>
    <row r="250" spans="61:68" x14ac:dyDescent="0.25">
      <c r="BI250" s="292"/>
      <c r="BJ250" s="102" t="s">
        <v>21</v>
      </c>
      <c r="BK250" s="285">
        <f ca="1">BK252+BK253+BK254+BK255</f>
        <v>0</v>
      </c>
      <c r="BN250" s="102" t="s">
        <v>21</v>
      </c>
      <c r="BO250" s="285">
        <f ca="1">BO252+BO253+BO254+BO255</f>
        <v>0</v>
      </c>
      <c r="BP250" s="293"/>
    </row>
    <row r="251" spans="61:68" x14ac:dyDescent="0.25">
      <c r="BI251" s="292"/>
      <c r="BJ251" s="106" t="s">
        <v>29</v>
      </c>
      <c r="BK251" s="108"/>
      <c r="BN251" s="106" t="s">
        <v>29</v>
      </c>
      <c r="BO251" s="108"/>
      <c r="BP251" s="293"/>
    </row>
    <row r="252" spans="61:68" x14ac:dyDescent="0.25">
      <c r="BI252" s="292"/>
      <c r="BJ252" s="24" t="s">
        <v>22</v>
      </c>
      <c r="BK252" s="103">
        <f ca="1">BK230/50</f>
        <v>0</v>
      </c>
      <c r="BN252" s="24" t="s">
        <v>22</v>
      </c>
      <c r="BO252" s="103">
        <f ca="1">BO230/50</f>
        <v>0</v>
      </c>
      <c r="BP252" s="293"/>
    </row>
    <row r="253" spans="61:68" ht="15.75" x14ac:dyDescent="0.25">
      <c r="BI253" s="292"/>
      <c r="BJ253" s="111" t="s">
        <v>23</v>
      </c>
      <c r="BK253" s="103">
        <f t="shared" ref="BK253:BK255" si="290">BK231/50</f>
        <v>0</v>
      </c>
      <c r="BN253" s="111" t="s">
        <v>23</v>
      </c>
      <c r="BO253" s="103">
        <f t="shared" ref="BO253:BO254" si="291">BO231/50</f>
        <v>0</v>
      </c>
      <c r="BP253" s="293"/>
    </row>
    <row r="254" spans="61:68" ht="15.75" x14ac:dyDescent="0.25">
      <c r="BI254" s="292"/>
      <c r="BJ254" s="111" t="s">
        <v>24</v>
      </c>
      <c r="BK254" s="103">
        <f t="shared" si="290"/>
        <v>0</v>
      </c>
      <c r="BN254" s="111" t="s">
        <v>24</v>
      </c>
      <c r="BO254" s="103">
        <f t="shared" si="291"/>
        <v>0</v>
      </c>
      <c r="BP254" s="293"/>
    </row>
    <row r="255" spans="61:68" ht="15.75" x14ac:dyDescent="0.25">
      <c r="BI255" s="292"/>
      <c r="BJ255" s="111" t="s">
        <v>18</v>
      </c>
      <c r="BK255" s="103">
        <f t="shared" si="290"/>
        <v>0</v>
      </c>
      <c r="BN255" s="111" t="s">
        <v>18</v>
      </c>
      <c r="BO255" s="103">
        <f>BO233/50</f>
        <v>0</v>
      </c>
      <c r="BP255" s="293"/>
    </row>
    <row r="256" spans="61:68" x14ac:dyDescent="0.25">
      <c r="BI256" s="294"/>
      <c r="BJ256" s="188"/>
      <c r="BK256" s="188"/>
      <c r="BL256" s="188"/>
      <c r="BM256" s="188"/>
      <c r="BN256" s="188"/>
      <c r="BO256" s="188"/>
      <c r="BP256" s="126"/>
    </row>
  </sheetData>
  <sheetProtection algorithmName="SHA-512" hashValue="LpDNrzs5TjLKv4ilY32o6K//mXrRbcvP/kMoqPRkaf2SfuF3KNF9m6aqPzVjgYsqi4rAlJZt3FHcXh1ExhnxGQ==" saltValue="li08I6WM3KcDmrSBe02egA==" spinCount="100000" sheet="1" objects="1" scenarios="1" selectLockedCells="1"/>
  <mergeCells count="22">
    <mergeCell ref="BB206:BD207"/>
    <mergeCell ref="BF206:BG207"/>
    <mergeCell ref="BB200:BH202"/>
    <mergeCell ref="F177:L181"/>
    <mergeCell ref="C131:D133"/>
    <mergeCell ref="C158:D160"/>
    <mergeCell ref="C44:D47"/>
    <mergeCell ref="C82:D85"/>
    <mergeCell ref="C16:D19"/>
    <mergeCell ref="F39:G39"/>
    <mergeCell ref="F153:G153"/>
    <mergeCell ref="F79:G79"/>
    <mergeCell ref="F102:G102"/>
    <mergeCell ref="F128:G128"/>
    <mergeCell ref="C112:D114"/>
    <mergeCell ref="AT42:AT43"/>
    <mergeCell ref="AW42:AW43"/>
    <mergeCell ref="AW16:AW18"/>
    <mergeCell ref="F13:G13"/>
    <mergeCell ref="AU41:AU43"/>
    <mergeCell ref="AU17:AU18"/>
    <mergeCell ref="AT17:AT18"/>
  </mergeCells>
  <conditionalFormatting sqref="O13:P17 O20:P31">
    <cfRule type="expression" dxfId="161" priority="155">
      <formula>$D$14&lt;3</formula>
    </cfRule>
  </conditionalFormatting>
  <conditionalFormatting sqref="L13:M17 L20:M31 L18:L19">
    <cfRule type="expression" dxfId="160" priority="154">
      <formula>$D$14&lt;2</formula>
    </cfRule>
  </conditionalFormatting>
  <conditionalFormatting sqref="L39:M43 L45:M57 L44">
    <cfRule type="expression" dxfId="159" priority="146">
      <formula>$D$40&lt;2</formula>
    </cfRule>
  </conditionalFormatting>
  <conditionalFormatting sqref="O60:P61 O63:P75">
    <cfRule type="expression" dxfId="158" priority="143">
      <formula>$D$40&lt;3</formula>
    </cfRule>
  </conditionalFormatting>
  <conditionalFormatting sqref="L60:M61 L63:M75 L62">
    <cfRule type="expression" dxfId="157" priority="142">
      <formula>$D$40&lt;2</formula>
    </cfRule>
  </conditionalFormatting>
  <conditionalFormatting sqref="O79:P83 O97:P97">
    <cfRule type="expression" dxfId="156" priority="139">
      <formula>$D$80&lt;3</formula>
    </cfRule>
  </conditionalFormatting>
  <conditionalFormatting sqref="I79:J83 I97:J97 I84:I96">
    <cfRule type="expression" dxfId="155" priority="137">
      <formula>$D$80=0</formula>
    </cfRule>
  </conditionalFormatting>
  <conditionalFormatting sqref="O102:P106 O108:P120">
    <cfRule type="expression" dxfId="154" priority="125">
      <formula>$D$103&lt;3</formula>
    </cfRule>
  </conditionalFormatting>
  <conditionalFormatting sqref="L102:M106 L108:M120 L107">
    <cfRule type="expression" dxfId="153" priority="124">
      <formula>$D$103&lt;2</formula>
    </cfRule>
  </conditionalFormatting>
  <conditionalFormatting sqref="U128:V132 U134:V147">
    <cfRule type="expression" dxfId="152" priority="123">
      <formula>$D$129&lt;5</formula>
    </cfRule>
  </conditionalFormatting>
  <conditionalFormatting sqref="I128:J132 I134:J146 I133">
    <cfRule type="expression" dxfId="151" priority="121">
      <formula>$D$129=0</formula>
    </cfRule>
  </conditionalFormatting>
  <conditionalFormatting sqref="O39:P43 O45:P57">
    <cfRule type="expression" dxfId="150" priority="119">
      <formula>$D$40&lt;3</formula>
    </cfRule>
  </conditionalFormatting>
  <conditionalFormatting sqref="I39:J43 I57:J57 I44:I56">
    <cfRule type="expression" dxfId="149" priority="118">
      <formula>$D$40=0</formula>
    </cfRule>
  </conditionalFormatting>
  <conditionalFormatting sqref="I13:J17 I18 I19:J31">
    <cfRule type="expression" dxfId="148" priority="117">
      <formula>$D$14=0</formula>
    </cfRule>
  </conditionalFormatting>
  <conditionalFormatting sqref="I75:J75 I60:I74">
    <cfRule type="expression" dxfId="147" priority="116">
      <formula>$D$40=0</formula>
    </cfRule>
  </conditionalFormatting>
  <conditionalFormatting sqref="I102:J106 I120:J120 I107:I119">
    <cfRule type="expression" dxfId="146" priority="115">
      <formula>$D$103=0</formula>
    </cfRule>
  </conditionalFormatting>
  <conditionalFormatting sqref="O128:P132 O134:P147">
    <cfRule type="expression" dxfId="145" priority="99">
      <formula>$D$129&lt;3</formula>
    </cfRule>
  </conditionalFormatting>
  <conditionalFormatting sqref="R128:S132 R134:S147">
    <cfRule type="expression" dxfId="144" priority="98">
      <formula>$D$129&lt;4</formula>
    </cfRule>
  </conditionalFormatting>
  <conditionalFormatting sqref="F176:L181 C182:D196 C198:D201">
    <cfRule type="expression" dxfId="143" priority="87">
      <formula>$D$177="Mätdata ej tillgänglig"</formula>
    </cfRule>
  </conditionalFormatting>
  <conditionalFormatting sqref="C109:D110">
    <cfRule type="expression" dxfId="142" priority="75">
      <formula>$D$107="Mäts separat"</formula>
    </cfRule>
  </conditionalFormatting>
  <conditionalFormatting sqref="I153:J157 I159:J171 I158">
    <cfRule type="expression" dxfId="141" priority="159">
      <formula>$D$156=0</formula>
    </cfRule>
  </conditionalFormatting>
  <conditionalFormatting sqref="O153:P157 O159:P171">
    <cfRule type="expression" dxfId="140" priority="161">
      <formula>$D$156&lt;3</formula>
    </cfRule>
  </conditionalFormatting>
  <conditionalFormatting sqref="L153:M157 L159:M171">
    <cfRule type="expression" dxfId="139" priority="73">
      <formula>$D$156&lt;2</formula>
    </cfRule>
  </conditionalFormatting>
  <conditionalFormatting sqref="C156:D156 I153:P157 I159:P171 I158">
    <cfRule type="expression" dxfId="138" priority="69">
      <formula>$D$154="Mätdata ej tillgänglig"</formula>
    </cfRule>
  </conditionalFormatting>
  <conditionalFormatting sqref="I18:I31 J31 L18:L31 M31 O20:O31 P31 I44:I57 J57 L44:L57 M57 O45:O57 P57 J75 M75 P75 I84:I97 J97 L97:M97 O97:P97 I107:I120 J120 L107:L120 M120 O108:O120 P120 M171 P171 J146 L134:L146 M146 O134:O146 P146 R134:R146 S146 U134:U146 V146 I62:I75 L62:L75 O63:O75 I158:I171 L159:L171 O159:O171 F7:F9 I133:I146 J171 F147:G150">
    <cfRule type="expression" dxfId="137" priority="162">
      <formula>$Z$4=$Z$5</formula>
    </cfRule>
  </conditionalFormatting>
  <conditionalFormatting sqref="C41:D41">
    <cfRule type="expression" dxfId="136" priority="164">
      <formula>OR($C$20="Kallvattenvolym",$C$20="Tappvarmvattenvolym")</formula>
    </cfRule>
  </conditionalFormatting>
  <conditionalFormatting sqref="C107:D110">
    <cfRule type="expression" dxfId="135" priority="63">
      <formula>$D$105="Finns ej"</formula>
    </cfRule>
  </conditionalFormatting>
  <conditionalFormatting sqref="I75:P75 K62:L62 I60:I74 K63:P74 K60:P61">
    <cfRule type="expression" dxfId="134" priority="65">
      <formula>$D$41="Inkluderad i energi för uppvärmning"</formula>
    </cfRule>
    <cfRule type="expression" dxfId="133" priority="66">
      <formula>$D$41="Inkluderad i energi för tappvarmvatten"</formula>
    </cfRule>
  </conditionalFormatting>
  <conditionalFormatting sqref="L79:M83 L97:M97">
    <cfRule type="expression" dxfId="132" priority="138">
      <formula>$D$80&lt;2</formula>
    </cfRule>
  </conditionalFormatting>
  <conditionalFormatting sqref="L128:M132 L134:M146">
    <cfRule type="expression" dxfId="131" priority="122">
      <formula>$D$129&lt;2</formula>
    </cfRule>
  </conditionalFormatting>
  <conditionalFormatting sqref="J45:J56">
    <cfRule type="expression" dxfId="130" priority="47">
      <formula>$D$14=0</formula>
    </cfRule>
  </conditionalFormatting>
  <conditionalFormatting sqref="J108:J119">
    <cfRule type="expression" dxfId="129" priority="41">
      <formula>$D$14=0</formula>
    </cfRule>
  </conditionalFormatting>
  <conditionalFormatting sqref="O18:P19">
    <cfRule type="expression" dxfId="128" priority="39">
      <formula>$D$14&lt;3</formula>
    </cfRule>
  </conditionalFormatting>
  <conditionalFormatting sqref="M18:M19">
    <cfRule type="expression" dxfId="127" priority="38">
      <formula>$D$14&lt;2</formula>
    </cfRule>
  </conditionalFormatting>
  <conditionalFormatting sqref="O18:O19">
    <cfRule type="expression" dxfId="126" priority="40">
      <formula>$Z$4=$Z$5</formula>
    </cfRule>
  </conditionalFormatting>
  <conditionalFormatting sqref="M44">
    <cfRule type="expression" dxfId="125" priority="36">
      <formula>$D$40&lt;2</formula>
    </cfRule>
  </conditionalFormatting>
  <conditionalFormatting sqref="O44:P44">
    <cfRule type="expression" dxfId="124" priority="35">
      <formula>$D$40&lt;3</formula>
    </cfRule>
  </conditionalFormatting>
  <conditionalFormatting sqref="O44">
    <cfRule type="expression" dxfId="123" priority="37">
      <formula>$Z$4=$Z$5</formula>
    </cfRule>
  </conditionalFormatting>
  <conditionalFormatting sqref="O62:P62">
    <cfRule type="expression" dxfId="122" priority="33">
      <formula>$D$40&lt;3</formula>
    </cfRule>
  </conditionalFormatting>
  <conditionalFormatting sqref="M62:N62">
    <cfRule type="expression" dxfId="121" priority="32">
      <formula>$D$40&lt;2</formula>
    </cfRule>
  </conditionalFormatting>
  <conditionalFormatting sqref="O62">
    <cfRule type="expression" dxfId="120" priority="34">
      <formula>$Z$4=$Z$5</formula>
    </cfRule>
  </conditionalFormatting>
  <conditionalFormatting sqref="M62:P62">
    <cfRule type="expression" dxfId="119" priority="30">
      <formula>$D$41="Inkluderad i energi för uppvärmning"</formula>
    </cfRule>
    <cfRule type="expression" dxfId="118" priority="31">
      <formula>$D$41="Inkluderad i energi för tappvarmvatten"</formula>
    </cfRule>
  </conditionalFormatting>
  <conditionalFormatting sqref="O84:P96">
    <cfRule type="expression" dxfId="117" priority="28">
      <formula>$D$80&lt;3</formula>
    </cfRule>
  </conditionalFormatting>
  <conditionalFormatting sqref="J84:J96">
    <cfRule type="expression" dxfId="116" priority="26">
      <formula>$D$80=0</formula>
    </cfRule>
  </conditionalFormatting>
  <conditionalFormatting sqref="L84:M96">
    <cfRule type="expression" dxfId="115" priority="25">
      <formula>$D$80=0</formula>
    </cfRule>
    <cfRule type="expression" dxfId="114" priority="27">
      <formula>$D$80&lt;2</formula>
    </cfRule>
  </conditionalFormatting>
  <conditionalFormatting sqref="L84:L96 O84:O96">
    <cfRule type="expression" dxfId="113" priority="29">
      <formula>$Z$4=$Z$5</formula>
    </cfRule>
  </conditionalFormatting>
  <conditionalFormatting sqref="O107:P107">
    <cfRule type="expression" dxfId="112" priority="23">
      <formula>$D$103&lt;3</formula>
    </cfRule>
  </conditionalFormatting>
  <conditionalFormatting sqref="M107">
    <cfRule type="expression" dxfId="111" priority="22">
      <formula>$D$103&lt;2</formula>
    </cfRule>
  </conditionalFormatting>
  <conditionalFormatting sqref="O107">
    <cfRule type="expression" dxfId="110" priority="24">
      <formula>$Z$4=$Z$5</formula>
    </cfRule>
  </conditionalFormatting>
  <conditionalFormatting sqref="U133:V133">
    <cfRule type="expression" dxfId="109" priority="20">
      <formula>$D$129&lt;5</formula>
    </cfRule>
  </conditionalFormatting>
  <conditionalFormatting sqref="L133:M133">
    <cfRule type="expression" dxfId="108" priority="15">
      <formula>$D$129=0</formula>
    </cfRule>
    <cfRule type="expression" dxfId="107" priority="19">
      <formula>$D$129&lt;2</formula>
    </cfRule>
  </conditionalFormatting>
  <conditionalFormatting sqref="J133">
    <cfRule type="expression" dxfId="106" priority="18">
      <formula>$D$129=0</formula>
    </cfRule>
  </conditionalFormatting>
  <conditionalFormatting sqref="O133:P133">
    <cfRule type="expression" dxfId="105" priority="17">
      <formula>$D$129&lt;3</formula>
    </cfRule>
  </conditionalFormatting>
  <conditionalFormatting sqref="R133:S133">
    <cfRule type="expression" dxfId="104" priority="16">
      <formula>$D$129&lt;4</formula>
    </cfRule>
  </conditionalFormatting>
  <conditionalFormatting sqref="L133 O133 R133 U133">
    <cfRule type="expression" dxfId="103" priority="21">
      <formula>$Z$4=$Z$5</formula>
    </cfRule>
  </conditionalFormatting>
  <conditionalFormatting sqref="J158">
    <cfRule type="expression" dxfId="102" priority="11">
      <formula>$D$156=0</formula>
    </cfRule>
  </conditionalFormatting>
  <conditionalFormatting sqref="L158:M158">
    <cfRule type="expression" dxfId="101" priority="12">
      <formula>$D$156&lt;2</formula>
    </cfRule>
  </conditionalFormatting>
  <conditionalFormatting sqref="O158:P158">
    <cfRule type="expression" dxfId="100" priority="5">
      <formula>$D$156=0</formula>
    </cfRule>
    <cfRule type="expression" dxfId="99" priority="7">
      <formula>$D$156=0</formula>
    </cfRule>
    <cfRule type="expression" dxfId="98" priority="9">
      <formula>$D$156&lt;2</formula>
    </cfRule>
    <cfRule type="expression" dxfId="97" priority="13">
      <formula>$D$156&lt;3</formula>
    </cfRule>
  </conditionalFormatting>
  <conditionalFormatting sqref="L158:M158">
    <cfRule type="expression" dxfId="96" priority="8">
      <formula>$D$156=0</formula>
    </cfRule>
    <cfRule type="expression" dxfId="95" priority="10">
      <formula>$D$156&lt;2</formula>
    </cfRule>
  </conditionalFormatting>
  <conditionalFormatting sqref="J158:P158">
    <cfRule type="expression" dxfId="94" priority="6">
      <formula>$D$154="Mätdata ej tillgänglig"</formula>
    </cfRule>
  </conditionalFormatting>
  <conditionalFormatting sqref="L158 O158">
    <cfRule type="expression" dxfId="93" priority="14">
      <formula>$Z$4=$Z$5</formula>
    </cfRule>
  </conditionalFormatting>
  <conditionalFormatting sqref="J60:J74">
    <cfRule type="expression" dxfId="92" priority="3">
      <formula>$D$40=0</formula>
    </cfRule>
  </conditionalFormatting>
  <conditionalFormatting sqref="J60:J74">
    <cfRule type="expression" dxfId="91" priority="1">
      <formula>$D$41="Inkluderad i energi för uppvärmning"</formula>
    </cfRule>
    <cfRule type="expression" dxfId="90" priority="2">
      <formula>$D$41="Inkluderad i energi för tappvarmvatten"</formula>
    </cfRule>
  </conditionalFormatting>
  <dataValidations count="26">
    <dataValidation type="list" allowBlank="1" showInputMessage="1" showErrorMessage="1" sqref="D42" xr:uid="{D5076F82-70DC-4B39-A0BD-F7C506991346}">
      <formula1>$EQ$3:$EQ$4</formula1>
    </dataValidation>
    <dataValidation type="list" allowBlank="1" showInputMessage="1" showErrorMessage="1" sqref="G15 H15:H16 D179:D180 H41:H42 H104:H105 H130:H131 H81:H82 H155:H156" xr:uid="{29E9EA9B-F0CC-4D67-8482-8FFF6755DE81}">
      <formula1>$EI$3:$EI$14</formula1>
    </dataValidation>
    <dataValidation type="list" allowBlank="1" showInputMessage="1" showErrorMessage="1" sqref="J16 P16:V16 M82 J82 P42:V42 M42 J42 M16 P82:V82" xr:uid="{57CDF6D4-106D-43A5-9E92-66259801785C}">
      <formula1>$EN$3:$EN$4</formula1>
    </dataValidation>
    <dataValidation type="list" allowBlank="1" showInputMessage="1" showErrorMessage="1" sqref="M104:N104 N155 AB100:AB101 K155 J104:K104 P104:V104 AI101 AB145:AB146" xr:uid="{B8CB1066-C580-4684-AF36-0D76EAAE7B0D}">
      <formula1>$EL$3:$EL$4</formula1>
    </dataValidation>
    <dataValidation type="list" allowBlank="1" showInputMessage="1" showErrorMessage="1" sqref="D177 D154 Q155:V155" xr:uid="{6A5F244C-5210-4A60-A21D-E59E1CDA5FBA}">
      <formula1>$EO$3:$EO$4</formula1>
    </dataValidation>
    <dataValidation type="list" allowBlank="1" showInputMessage="1" showErrorMessage="1" sqref="H129 H103 H40 H154 H80 H14" xr:uid="{188B633C-44EA-4ED4-AFE3-AD543B5198EF}">
      <formula1>$EH$3:$EH$10</formula1>
    </dataValidation>
    <dataValidation type="list" allowBlank="1" showInputMessage="1" showErrorMessage="1" sqref="M80:N80 J80:K80 P80:V80" xr:uid="{BB51C11D-441F-4E4A-ACB9-A365822D463F}">
      <formula1>$EC$3:$EC$4</formula1>
    </dataValidation>
    <dataValidation type="list" allowBlank="1" showInputMessage="1" showErrorMessage="1" sqref="M129 P129 V129 S129 J129" xr:uid="{99B1D768-E6B3-48AA-8357-79D69D15E407}">
      <formula1>$EF$3:$EF$6</formula1>
    </dataValidation>
    <dataValidation type="list" allowBlank="1" showInputMessage="1" showErrorMessage="1" sqref="V130 P130 S130 M130 J130" xr:uid="{E7073C1F-169B-4F16-9B6B-3FEFEFBD7C87}">
      <formula1>$EG$3:$EG$6</formula1>
    </dataValidation>
    <dataValidation type="list" allowBlank="1" showInputMessage="1" showErrorMessage="1" sqref="M103 J103 M154 J154 P103:V103 P154:V154" xr:uid="{5F55D30E-D12F-4A75-915F-6BD20DF2D6F6}">
      <formula1>$EA$3:$EA$7</formula1>
    </dataValidation>
    <dataValidation type="list" allowBlank="1" showInputMessage="1" showErrorMessage="1" sqref="K40 P14:V14 M14:N14 J14:K14 N40" xr:uid="{15F4264C-62F6-497F-989B-A5CE2DF343C0}">
      <formula1>$DY$3:$DY$9</formula1>
    </dataValidation>
    <dataValidation type="list" allowBlank="1" showInputMessage="1" showErrorMessage="1" sqref="P40:V40 J40 M40 R59:V59" xr:uid="{C5E0E2F1-7905-487A-AAB0-CF84BA9FD2F2}">
      <formula1>$DY$3:$DY$7</formula1>
    </dataValidation>
    <dataValidation type="list" allowBlank="1" showInputMessage="1" showErrorMessage="1" sqref="D156 D80" xr:uid="{E0A3A3A4-8B34-4BF2-A9DE-7271FAE066F6}">
      <formula1>$DX$3:$DX$6</formula1>
    </dataValidation>
    <dataValidation type="list" allowBlank="1" showInputMessage="1" showErrorMessage="1" sqref="J131 V131 M131 S131 P131" xr:uid="{65E46C6A-F388-4A7D-8968-B45969D606AD}">
      <formula1>$DW$3:$DW$4</formula1>
    </dataValidation>
    <dataValidation type="list" allowBlank="1" showInputMessage="1" showErrorMessage="1" sqref="D129" xr:uid="{694EAA6E-6D26-41F9-A91C-F9F3398D06FA}">
      <formula1>$DX$3:$DX$8</formula1>
    </dataValidation>
    <dataValidation type="list" allowBlank="1" showInputMessage="1" showErrorMessage="1" sqref="Z4" xr:uid="{889875FA-EBBA-446D-ADFA-1B9FC468AAE7}">
      <formula1>$Z$5:$Z$6</formula1>
    </dataValidation>
    <dataValidation type="list" allowBlank="1" showInputMessage="1" showErrorMessage="1" sqref="D41" xr:uid="{E61B6C00-11A9-454A-9DAC-9AF8B752AFFF}">
      <formula1>$ER$3:$ER$5</formula1>
    </dataValidation>
    <dataValidation type="list" allowBlank="1" showInputMessage="1" showErrorMessage="1" sqref="D14 D40 D103" xr:uid="{D72AA2F6-A93C-4D06-9665-9EF57150D26A}">
      <formula1>$DX$4:$DX$6</formula1>
    </dataValidation>
    <dataValidation type="list" allowBlank="1" showInputMessage="1" showErrorMessage="1" sqref="D107" xr:uid="{80046376-E897-4C80-B960-F2ED4820F4FA}">
      <formula1>$ET$3:$ET$5</formula1>
    </dataValidation>
    <dataValidation type="list" allowBlank="1" showInputMessage="1" showErrorMessage="1" sqref="D105" xr:uid="{484C1C91-8CB0-411A-8A2E-158EDDB3724A}">
      <formula1>$ES$3:$ES$4</formula1>
    </dataValidation>
    <dataValidation type="list" allowBlank="1" showInputMessage="1" showErrorMessage="1" sqref="J155 M155 P155" xr:uid="{BC470753-CAB4-49C4-A710-431960204737}">
      <formula1>$EP$3:$EP$4</formula1>
    </dataValidation>
    <dataValidation type="whole" allowBlank="1" showInputMessage="1" showErrorMessage="1" error="Areaandel ska vara mellan 0 och 100 %!" sqref="D183 D191 D187" xr:uid="{5884032B-0DEE-4A67-A6F7-A3E73E5D5FE2}">
      <formula1>0</formula1>
      <formula2>100</formula2>
    </dataValidation>
    <dataValidation type="decimal" allowBlank="1" showInputMessage="1" showErrorMessage="1" error="Ange mätdata i MWh!" sqref="V134:V145 P85:P96 J45:J56 M19:M30 J85:J96 M45:M56 J19:J30 M63:M74 P45:P56 J63:J74 M85:M96 P63:P74 P19:P30 M108:M119 P108:P119 J134:J145 M134:M145 P134:P145 S134:S145 J108:J119" xr:uid="{7D56A0A3-F489-4DF9-BC2F-F0A3E4817DE5}">
      <formula1>0</formula1>
      <formula2>1000</formula2>
    </dataValidation>
    <dataValidation type="whole" allowBlank="1" showInputMessage="1" showErrorMessage="1" error="Ange mätdata i MWh!" sqref="M159:M170 P159:P170 J159:J170" xr:uid="{650D7CA7-4495-4029-94C6-1180BBCC9099}">
      <formula1>0</formula1>
      <formula2>100</formula2>
    </dataValidation>
    <dataValidation type="decimal" operator="lessThan" allowBlank="1" showInputMessage="1" showErrorMessage="1" error="Ange endast siffror!_x000a_" sqref="D184 D188 D192" xr:uid="{16B8C6C5-8DC0-4CA5-9679-92A848817C9D}">
      <formula1>30</formula1>
    </dataValidation>
    <dataValidation type="list" allowBlank="1" showInputMessage="1" showErrorMessage="1" sqref="G14" xr:uid="{F3E31031-0961-4D83-ADC4-1F5F930AD8B8}">
      <formula1>$EH$3:$EH$9</formula1>
    </dataValidation>
  </dataValidations>
  <pageMargins left="0.7" right="0.7" top="0.75" bottom="0.75" header="0.3" footer="0.3"/>
  <pageSetup paperSize="9" scale="1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4" id="{5E7542F4-0437-4DC9-919F-8F548F1602A7}">
            <xm:f>'Indata byggnad och BBR krav'!$C$17=0</xm:f>
            <x14:dxf>
              <font>
                <color theme="0"/>
              </font>
              <fill>
                <patternFill>
                  <bgColor theme="0"/>
                </patternFill>
              </fill>
              <border>
                <left/>
                <right/>
                <top/>
                <bottom/>
                <vertical/>
                <horizontal/>
              </border>
            </x14:dxf>
          </x14:cfRule>
          <xm:sqref>C105:D105 C107:D110</xm:sqref>
        </x14:conditionalFormatting>
        <x14:conditionalFormatting xmlns:xm="http://schemas.microsoft.com/office/excel/2006/main">
          <x14:cfRule type="expression" priority="49" id="{FEAF4D4D-16DE-46AF-9112-D0FB9507B899}">
            <xm:f>'Indata byggnad och BBR krav'!$C$17=0</xm:f>
            <x14:dxf>
              <font>
                <color theme="0"/>
              </font>
              <fill>
                <patternFill>
                  <bgColor theme="0"/>
                </patternFill>
              </fill>
              <border>
                <left/>
                <right/>
                <top/>
                <bottom/>
                <vertical/>
                <horizontal/>
              </border>
            </x14:dxf>
          </x14:cfRule>
          <xm:sqref>C196:D196</xm:sqref>
        </x14:conditionalFormatting>
        <x14:conditionalFormatting xmlns:xm="http://schemas.microsoft.com/office/excel/2006/main">
          <x14:cfRule type="expression" priority="48" id="{7E9E4A22-D0DA-4A2C-B6F0-1EE4A85C19D1}">
            <xm:f>'Indata byggnad och BBR krav'!$C$18=0</xm:f>
            <x14:dxf>
              <font>
                <color theme="0"/>
              </font>
              <fill>
                <patternFill>
                  <bgColor theme="0"/>
                </patternFill>
              </fill>
              <border>
                <left/>
                <right/>
                <top/>
                <bottom/>
                <vertical/>
                <horizontal/>
              </border>
            </x14:dxf>
          </x14:cfRule>
          <xm:sqref>C198:D198</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DB5E6-6B14-48FE-90C8-F694C8F1246D}">
  <sheetPr>
    <tabColor theme="5"/>
    <pageSetUpPr fitToPage="1"/>
  </sheetPr>
  <dimension ref="A1:FE256"/>
  <sheetViews>
    <sheetView showGridLines="0" zoomScale="80" zoomScaleNormal="80" workbookViewId="0">
      <selection activeCell="D177" sqref="D177"/>
    </sheetView>
  </sheetViews>
  <sheetFormatPr defaultColWidth="9.140625" defaultRowHeight="15" x14ac:dyDescent="0.25"/>
  <cols>
    <col min="1" max="1" width="3.7109375" customWidth="1"/>
    <col min="2" max="2" width="3.140625" customWidth="1"/>
    <col min="3" max="3" width="48.85546875" customWidth="1"/>
    <col min="4" max="4" width="51.42578125" customWidth="1"/>
    <col min="5" max="5" width="3" customWidth="1"/>
    <col min="6" max="6" width="21.28515625" customWidth="1"/>
    <col min="7" max="7" width="18.85546875" customWidth="1"/>
    <col min="8" max="8" width="3.7109375" customWidth="1"/>
    <col min="9" max="9" width="22.7109375" customWidth="1"/>
    <col min="10" max="10" width="25.85546875" customWidth="1"/>
    <col min="11" max="11" width="1.7109375" customWidth="1"/>
    <col min="12" max="12" width="23.42578125" customWidth="1"/>
    <col min="13" max="13" width="26.85546875" customWidth="1"/>
    <col min="14" max="14" width="2.42578125" customWidth="1"/>
    <col min="15" max="15" width="22.5703125" customWidth="1"/>
    <col min="16" max="16" width="24.85546875" customWidth="1"/>
    <col min="17" max="17" width="2.85546875" customWidth="1"/>
    <col min="18" max="19" width="24.85546875" customWidth="1"/>
    <col min="20" max="20" width="3.7109375" customWidth="1"/>
    <col min="21" max="22" width="24.85546875" customWidth="1"/>
    <col min="23" max="23" width="3.140625" customWidth="1"/>
    <col min="24" max="24" width="75.28515625" style="85" hidden="1" customWidth="1"/>
    <col min="25" max="28" width="15" style="85" hidden="1" customWidth="1"/>
    <col min="29" max="29" width="15.28515625" style="85" hidden="1" customWidth="1"/>
    <col min="30" max="30" width="19.7109375" style="85" hidden="1" customWidth="1"/>
    <col min="31" max="31" width="18.28515625" style="85" hidden="1" customWidth="1"/>
    <col min="32" max="32" width="42.5703125" style="85" hidden="1" customWidth="1"/>
    <col min="33" max="37" width="19.7109375" style="85" hidden="1" customWidth="1"/>
    <col min="38" max="38" width="24.7109375" style="85" hidden="1" customWidth="1"/>
    <col min="39" max="39" width="26.42578125" style="85" hidden="1" customWidth="1"/>
    <col min="40" max="45" width="19.7109375" style="85" hidden="1" customWidth="1"/>
    <col min="46" max="46" width="24" style="85" hidden="1" customWidth="1"/>
    <col min="47" max="48" width="19.7109375" style="85" hidden="1" customWidth="1"/>
    <col min="49" max="49" width="29.28515625" style="85" hidden="1" customWidth="1"/>
    <col min="50" max="50" width="24" style="85" hidden="1" customWidth="1"/>
    <col min="51" max="51" width="26.5703125" style="16" hidden="1" customWidth="1"/>
    <col min="52" max="53" width="19.7109375" style="16" hidden="1" customWidth="1"/>
    <col min="54" max="54" width="25.140625" style="16" hidden="1" customWidth="1"/>
    <col min="55" max="57" width="19.7109375" style="16" hidden="1" customWidth="1"/>
    <col min="58" max="58" width="24.140625" style="16" hidden="1" customWidth="1"/>
    <col min="59" max="59" width="17.85546875" style="16" hidden="1" customWidth="1"/>
    <col min="60" max="60" width="19.7109375" style="16" hidden="1" customWidth="1"/>
    <col min="61" max="61" width="23.85546875" style="16" hidden="1" customWidth="1"/>
    <col min="62" max="62" width="19.7109375" style="16" hidden="1" customWidth="1"/>
    <col min="63" max="63" width="18.28515625" style="16" hidden="1" customWidth="1"/>
    <col min="64" max="64" width="15" style="16" hidden="1" customWidth="1"/>
    <col min="65" max="65" width="19.42578125" style="16" hidden="1" customWidth="1"/>
    <col min="66" max="67" width="15" style="16" hidden="1" customWidth="1"/>
    <col min="68" max="70" width="18.7109375" style="16" hidden="1" customWidth="1"/>
    <col min="71" max="76" width="20.42578125" style="16" hidden="1" customWidth="1"/>
    <col min="77" max="77" width="13.42578125" style="16" hidden="1" customWidth="1"/>
    <col min="78" max="86" width="15" style="16" hidden="1" customWidth="1"/>
    <col min="87" max="87" width="20.140625" style="16" hidden="1" customWidth="1"/>
    <col min="88" max="115" width="15" style="16" hidden="1" customWidth="1"/>
    <col min="116" max="116" width="40.140625" style="16" hidden="1" customWidth="1"/>
    <col min="117" max="122" width="15.7109375" style="16" hidden="1" customWidth="1"/>
    <col min="123" max="123" width="13.85546875" style="16" hidden="1" customWidth="1"/>
    <col min="124" max="124" width="15" style="16" hidden="1" customWidth="1"/>
    <col min="125" max="129" width="15" hidden="1" customWidth="1"/>
    <col min="130" max="130" width="22.7109375" hidden="1" customWidth="1"/>
    <col min="131" max="131" width="15.28515625" hidden="1" customWidth="1"/>
    <col min="132" max="133" width="9.140625" hidden="1" customWidth="1"/>
    <col min="134" max="134" width="13.85546875" hidden="1" customWidth="1"/>
    <col min="135" max="141" width="9.140625" hidden="1" customWidth="1"/>
    <col min="142" max="142" width="19.42578125" hidden="1" customWidth="1"/>
    <col min="143" max="143" width="26.7109375" hidden="1" customWidth="1"/>
    <col min="144" max="144" width="19.42578125" hidden="1" customWidth="1"/>
    <col min="145" max="145" width="28.85546875" hidden="1" customWidth="1"/>
    <col min="146" max="146" width="19.42578125" hidden="1" customWidth="1"/>
    <col min="147" max="147" width="38.140625" hidden="1" customWidth="1"/>
    <col min="148" max="148" width="35.28515625" hidden="1" customWidth="1"/>
    <col min="149" max="149" width="32.42578125" hidden="1" customWidth="1"/>
    <col min="150" max="155" width="27.42578125" hidden="1" customWidth="1"/>
    <col min="156" max="156" width="9.140625" hidden="1" customWidth="1"/>
    <col min="157" max="161" width="15.42578125" hidden="1" customWidth="1"/>
    <col min="162" max="529" width="9.140625" customWidth="1"/>
  </cols>
  <sheetData>
    <row r="1" spans="2:161" ht="32.25" customHeight="1" x14ac:dyDescent="0.25">
      <c r="F1" s="17"/>
      <c r="G1" s="17"/>
      <c r="X1" s="85" t="s">
        <v>1446</v>
      </c>
      <c r="Y1" s="85" t="s">
        <v>1446</v>
      </c>
      <c r="Z1" s="85" t="s">
        <v>1446</v>
      </c>
      <c r="AA1" s="85" t="s">
        <v>1446</v>
      </c>
      <c r="AB1" s="85" t="s">
        <v>1446</v>
      </c>
      <c r="AC1" s="85" t="s">
        <v>1446</v>
      </c>
      <c r="AD1" s="85" t="s">
        <v>1446</v>
      </c>
      <c r="AE1" s="85" t="s">
        <v>1446</v>
      </c>
      <c r="AF1" s="85" t="s">
        <v>1446</v>
      </c>
      <c r="AG1" s="85" t="s">
        <v>1446</v>
      </c>
      <c r="AH1" s="85" t="s">
        <v>1446</v>
      </c>
      <c r="AI1" s="85" t="s">
        <v>1446</v>
      </c>
      <c r="AJ1" s="85" t="s">
        <v>1446</v>
      </c>
      <c r="AK1" s="85" t="s">
        <v>1446</v>
      </c>
      <c r="AL1" s="85" t="s">
        <v>1446</v>
      </c>
      <c r="AM1" s="85" t="s">
        <v>1446</v>
      </c>
      <c r="AN1" s="85" t="s">
        <v>1446</v>
      </c>
      <c r="AO1" s="85" t="s">
        <v>1446</v>
      </c>
      <c r="AP1" s="85" t="s">
        <v>1446</v>
      </c>
      <c r="AQ1" s="85" t="s">
        <v>1446</v>
      </c>
      <c r="AR1" s="85" t="s">
        <v>1446</v>
      </c>
      <c r="AS1" s="85" t="s">
        <v>1446</v>
      </c>
      <c r="AT1" s="85" t="s">
        <v>1446</v>
      </c>
      <c r="AU1" s="85" t="s">
        <v>1446</v>
      </c>
      <c r="AV1" s="85" t="s">
        <v>1446</v>
      </c>
      <c r="AW1" s="85" t="s">
        <v>1446</v>
      </c>
      <c r="AX1" s="85" t="s">
        <v>1446</v>
      </c>
      <c r="AY1" s="16" t="s">
        <v>1446</v>
      </c>
      <c r="AZ1" s="16" t="s">
        <v>1446</v>
      </c>
      <c r="BA1" s="16" t="s">
        <v>1446</v>
      </c>
      <c r="BB1" s="16" t="s">
        <v>1446</v>
      </c>
      <c r="BC1" s="16" t="s">
        <v>1446</v>
      </c>
      <c r="BD1" s="16" t="s">
        <v>1446</v>
      </c>
      <c r="BE1" s="16" t="s">
        <v>1446</v>
      </c>
      <c r="BF1" s="16" t="s">
        <v>1446</v>
      </c>
      <c r="BG1" s="16" t="s">
        <v>1446</v>
      </c>
      <c r="BH1" s="16" t="s">
        <v>1446</v>
      </c>
      <c r="BI1" s="16" t="s">
        <v>1446</v>
      </c>
      <c r="BJ1" s="16" t="s">
        <v>1446</v>
      </c>
      <c r="BK1" s="16" t="s">
        <v>1446</v>
      </c>
      <c r="BL1" s="16" t="s">
        <v>1446</v>
      </c>
      <c r="BM1" s="16" t="s">
        <v>1446</v>
      </c>
      <c r="BN1" s="16" t="s">
        <v>1446</v>
      </c>
      <c r="BO1" s="16" t="s">
        <v>1446</v>
      </c>
      <c r="BP1" s="16" t="s">
        <v>1446</v>
      </c>
      <c r="BQ1" s="16" t="s">
        <v>1446</v>
      </c>
      <c r="BR1" s="16" t="s">
        <v>1446</v>
      </c>
      <c r="BS1" s="16" t="s">
        <v>1446</v>
      </c>
      <c r="BT1" s="16" t="s">
        <v>1446</v>
      </c>
      <c r="BU1" s="16" t="s">
        <v>1446</v>
      </c>
      <c r="BV1" s="16" t="s">
        <v>1446</v>
      </c>
      <c r="BW1" s="16" t="s">
        <v>1446</v>
      </c>
      <c r="BX1" s="16" t="s">
        <v>1446</v>
      </c>
      <c r="BY1" s="16" t="s">
        <v>1446</v>
      </c>
      <c r="BZ1" s="16" t="s">
        <v>1446</v>
      </c>
      <c r="CA1" s="16" t="s">
        <v>1446</v>
      </c>
      <c r="CB1" s="16" t="s">
        <v>1446</v>
      </c>
      <c r="CC1" s="16" t="s">
        <v>1446</v>
      </c>
      <c r="CD1" s="16" t="s">
        <v>1446</v>
      </c>
      <c r="CE1" s="16" t="s">
        <v>1446</v>
      </c>
      <c r="CF1" s="16" t="s">
        <v>1446</v>
      </c>
      <c r="CG1" s="16" t="s">
        <v>1446</v>
      </c>
      <c r="CH1" s="16" t="s">
        <v>1446</v>
      </c>
      <c r="CI1" s="16" t="s">
        <v>1446</v>
      </c>
      <c r="CJ1" s="16" t="s">
        <v>1446</v>
      </c>
      <c r="CK1" s="16" t="s">
        <v>1446</v>
      </c>
      <c r="CL1" s="16" t="s">
        <v>1446</v>
      </c>
      <c r="CM1" s="16" t="s">
        <v>1446</v>
      </c>
      <c r="CN1" s="16" t="s">
        <v>1446</v>
      </c>
      <c r="CO1" s="16" t="s">
        <v>1446</v>
      </c>
      <c r="CP1" s="16" t="s">
        <v>1446</v>
      </c>
      <c r="CQ1" s="16" t="s">
        <v>1446</v>
      </c>
      <c r="CR1" s="16" t="s">
        <v>1446</v>
      </c>
      <c r="CS1" s="16" t="s">
        <v>1446</v>
      </c>
      <c r="CT1" s="16" t="s">
        <v>1446</v>
      </c>
      <c r="CU1" s="16" t="s">
        <v>1446</v>
      </c>
      <c r="CV1" s="16" t="s">
        <v>1446</v>
      </c>
      <c r="CW1" s="16" t="s">
        <v>1446</v>
      </c>
      <c r="CX1" s="16" t="s">
        <v>1446</v>
      </c>
      <c r="CY1" s="16" t="s">
        <v>1446</v>
      </c>
      <c r="CZ1" s="16" t="s">
        <v>1446</v>
      </c>
      <c r="DA1" s="16" t="s">
        <v>1446</v>
      </c>
      <c r="DB1" s="16" t="s">
        <v>1446</v>
      </c>
      <c r="DC1" s="16" t="s">
        <v>1446</v>
      </c>
      <c r="DD1" s="16" t="s">
        <v>1446</v>
      </c>
      <c r="DE1" s="16" t="s">
        <v>1446</v>
      </c>
      <c r="DF1" s="16" t="s">
        <v>1446</v>
      </c>
      <c r="DG1" s="16" t="s">
        <v>1446</v>
      </c>
      <c r="DH1" s="16" t="s">
        <v>1446</v>
      </c>
      <c r="DI1" s="16" t="s">
        <v>1446</v>
      </c>
      <c r="DJ1" s="16" t="s">
        <v>1446</v>
      </c>
      <c r="DK1" s="16" t="s">
        <v>1446</v>
      </c>
      <c r="DL1" s="16" t="s">
        <v>1446</v>
      </c>
      <c r="DM1" s="16" t="s">
        <v>1446</v>
      </c>
      <c r="DN1" s="16" t="s">
        <v>1446</v>
      </c>
      <c r="DO1" s="16" t="s">
        <v>1446</v>
      </c>
      <c r="DP1" s="16" t="s">
        <v>1446</v>
      </c>
      <c r="DQ1" s="16" t="s">
        <v>1446</v>
      </c>
      <c r="DR1" s="16" t="s">
        <v>1446</v>
      </c>
      <c r="DS1" s="16" t="s">
        <v>1446</v>
      </c>
      <c r="DT1" s="16" t="s">
        <v>1446</v>
      </c>
      <c r="DU1" t="s">
        <v>1446</v>
      </c>
      <c r="DV1" t="s">
        <v>1446</v>
      </c>
      <c r="DW1" t="s">
        <v>1446</v>
      </c>
      <c r="DX1" t="s">
        <v>1446</v>
      </c>
      <c r="DY1" t="s">
        <v>1446</v>
      </c>
      <c r="DZ1" t="s">
        <v>1446</v>
      </c>
      <c r="EA1" t="s">
        <v>1446</v>
      </c>
      <c r="EB1" t="s">
        <v>1446</v>
      </c>
      <c r="EC1" t="s">
        <v>1446</v>
      </c>
      <c r="ED1" t="s">
        <v>1446</v>
      </c>
      <c r="EE1" t="s">
        <v>1446</v>
      </c>
      <c r="EF1" t="s">
        <v>1446</v>
      </c>
      <c r="EG1" t="s">
        <v>1446</v>
      </c>
      <c r="EH1" t="s">
        <v>1446</v>
      </c>
      <c r="EI1" t="s">
        <v>1446</v>
      </c>
      <c r="EJ1" t="s">
        <v>1446</v>
      </c>
      <c r="EK1" t="s">
        <v>1446</v>
      </c>
      <c r="EL1" t="s">
        <v>1446</v>
      </c>
      <c r="EM1" t="s">
        <v>1446</v>
      </c>
      <c r="EN1" t="s">
        <v>1446</v>
      </c>
      <c r="EO1" t="s">
        <v>1446</v>
      </c>
      <c r="EP1" t="s">
        <v>1446</v>
      </c>
      <c r="EQ1" t="s">
        <v>1446</v>
      </c>
      <c r="ER1" t="s">
        <v>1446</v>
      </c>
      <c r="ES1" t="s">
        <v>1446</v>
      </c>
      <c r="ET1" t="s">
        <v>1446</v>
      </c>
      <c r="EU1" t="s">
        <v>1446</v>
      </c>
      <c r="EV1" t="s">
        <v>1446</v>
      </c>
      <c r="EW1" s="193" t="s">
        <v>1267</v>
      </c>
      <c r="EX1" s="192" t="s">
        <v>1268</v>
      </c>
      <c r="EY1" s="193" t="s">
        <v>1269</v>
      </c>
      <c r="FA1" t="s">
        <v>1397</v>
      </c>
      <c r="FD1" t="s">
        <v>1446</v>
      </c>
      <c r="FE1" s="266" t="s">
        <v>1446</v>
      </c>
    </row>
    <row r="2" spans="2:161" ht="24" customHeight="1" x14ac:dyDescent="0.4">
      <c r="D2" s="231" t="s">
        <v>8</v>
      </c>
      <c r="F2" s="17"/>
      <c r="G2" s="17"/>
      <c r="BN2" s="21" t="s">
        <v>1101</v>
      </c>
      <c r="BO2" s="22"/>
      <c r="DV2" s="160" t="s">
        <v>1212</v>
      </c>
      <c r="DW2" s="60" t="s">
        <v>1127</v>
      </c>
      <c r="DX2" s="60" t="s">
        <v>1051</v>
      </c>
      <c r="DY2" s="60" t="s">
        <v>1052</v>
      </c>
      <c r="DZ2" s="60" t="s">
        <v>1093</v>
      </c>
      <c r="EA2" s="60" t="s">
        <v>1093</v>
      </c>
      <c r="EB2" s="60" t="s">
        <v>1073</v>
      </c>
      <c r="EC2" s="60" t="s">
        <v>1074</v>
      </c>
      <c r="ED2" s="60" t="s">
        <v>1093</v>
      </c>
      <c r="EE2" s="60" t="s">
        <v>1073</v>
      </c>
      <c r="EF2" s="60" t="s">
        <v>1077</v>
      </c>
      <c r="EG2" s="60" t="s">
        <v>1086</v>
      </c>
      <c r="EH2" s="60" t="s">
        <v>1059</v>
      </c>
      <c r="EI2" s="60" t="s">
        <v>1060</v>
      </c>
      <c r="EJ2" s="60" t="s">
        <v>1173</v>
      </c>
      <c r="EK2" s="60" t="s">
        <v>1177</v>
      </c>
      <c r="EL2" s="60" t="s">
        <v>1078</v>
      </c>
      <c r="EM2" s="60" t="s">
        <v>1112</v>
      </c>
      <c r="EN2" s="60" t="s">
        <v>1137</v>
      </c>
      <c r="EO2" s="232" t="s">
        <v>1280</v>
      </c>
      <c r="EP2" s="232" t="s">
        <v>1280</v>
      </c>
      <c r="EQ2" s="60" t="s">
        <v>20</v>
      </c>
      <c r="ER2" s="60" t="s">
        <v>1254</v>
      </c>
      <c r="ES2" s="60" t="s">
        <v>1266</v>
      </c>
      <c r="ET2" s="60" t="s">
        <v>1270</v>
      </c>
      <c r="EU2" s="60" t="s">
        <v>1271</v>
      </c>
      <c r="EV2" s="60" t="s">
        <v>1272</v>
      </c>
      <c r="EW2" s="3" t="s">
        <v>1061</v>
      </c>
      <c r="EX2" s="3">
        <v>129.06</v>
      </c>
      <c r="EY2" s="233">
        <v>0.12906000000000001</v>
      </c>
      <c r="FA2" s="192" t="s">
        <v>1362</v>
      </c>
      <c r="FB2" s="193" t="s">
        <v>1364</v>
      </c>
      <c r="FC2" s="192" t="s">
        <v>1396</v>
      </c>
    </row>
    <row r="3" spans="2:161" x14ac:dyDescent="0.25">
      <c r="F3" s="17"/>
      <c r="G3" s="17"/>
      <c r="BN3" s="16" t="s">
        <v>1117</v>
      </c>
      <c r="BO3" s="22">
        <f>IF(D196="",0,D196)</f>
        <v>21</v>
      </c>
      <c r="BP3" s="16" t="s">
        <v>1116</v>
      </c>
      <c r="DV3" t="s">
        <v>1213</v>
      </c>
      <c r="DW3" t="s">
        <v>1141</v>
      </c>
      <c r="DX3" s="3">
        <v>0</v>
      </c>
      <c r="DY3" t="s">
        <v>14</v>
      </c>
      <c r="DZ3" t="s">
        <v>14</v>
      </c>
      <c r="EA3" t="s">
        <v>1085</v>
      </c>
      <c r="EB3" s="20">
        <v>1.8</v>
      </c>
      <c r="EC3" s="20" t="s">
        <v>26</v>
      </c>
      <c r="ED3" t="s">
        <v>1085</v>
      </c>
      <c r="EE3" s="20">
        <v>1.8</v>
      </c>
      <c r="EF3" t="s">
        <v>17</v>
      </c>
      <c r="EG3" s="20" t="s">
        <v>1087</v>
      </c>
      <c r="EH3" s="3">
        <v>2015</v>
      </c>
      <c r="EI3" s="3" t="s">
        <v>1061</v>
      </c>
      <c r="EJ3" s="3">
        <v>1</v>
      </c>
      <c r="EK3" s="3">
        <v>744</v>
      </c>
      <c r="EL3" s="3" t="s">
        <v>1091</v>
      </c>
      <c r="EM3" s="3" t="s">
        <v>1217</v>
      </c>
      <c r="EN3" s="3" t="s">
        <v>1075</v>
      </c>
      <c r="EO3" s="36" t="s">
        <v>1279</v>
      </c>
      <c r="EP3" s="36" t="s">
        <v>1282</v>
      </c>
      <c r="EQ3" s="3" t="s">
        <v>1251</v>
      </c>
      <c r="ER3" t="s">
        <v>1255</v>
      </c>
      <c r="ES3" s="3" t="s">
        <v>1251</v>
      </c>
      <c r="ET3" t="s">
        <v>1264</v>
      </c>
      <c r="EU3" t="s">
        <v>1264</v>
      </c>
      <c r="EV3" t="s">
        <v>1264</v>
      </c>
      <c r="EW3" s="3" t="s">
        <v>1062</v>
      </c>
      <c r="EX3" s="3">
        <v>114.74</v>
      </c>
      <c r="EY3" s="233">
        <f t="shared" ref="EY3:EY13" si="0">EX3/1000</f>
        <v>0.11473999999999999</v>
      </c>
      <c r="FA3" t="str">
        <f>'Indata byggnad och BBR krav'!Y8</f>
        <v>El</v>
      </c>
      <c r="FB3" t="str">
        <f>'Indata byggnad och BBR krav'!Z8</f>
        <v>Generisk data</v>
      </c>
      <c r="FC3">
        <f>'Indata byggnad och BBR krav'!AA8</f>
        <v>2.1999999999999999E-2</v>
      </c>
    </row>
    <row r="4" spans="2:161" ht="16.5" customHeight="1" x14ac:dyDescent="0.25">
      <c r="F4" s="17"/>
      <c r="Y4" s="110" t="s">
        <v>1204</v>
      </c>
      <c r="Z4" s="265" t="s">
        <v>1206</v>
      </c>
      <c r="BN4" s="16" t="s">
        <v>1118</v>
      </c>
      <c r="BO4" s="22">
        <f>IF(D198="",0,D198)</f>
        <v>21</v>
      </c>
      <c r="BP4" s="16" t="s">
        <v>1121</v>
      </c>
      <c r="CB4" s="21"/>
      <c r="CF4" s="24"/>
      <c r="DV4" t="s">
        <v>1214</v>
      </c>
      <c r="DW4" t="s">
        <v>1142</v>
      </c>
      <c r="DX4" s="3">
        <v>1</v>
      </c>
      <c r="DY4" t="s">
        <v>15</v>
      </c>
      <c r="DZ4" t="s">
        <v>1085</v>
      </c>
      <c r="EA4" t="s">
        <v>14</v>
      </c>
      <c r="EB4" s="20">
        <v>0.7</v>
      </c>
      <c r="EC4" s="20" t="s">
        <v>25</v>
      </c>
      <c r="ED4" t="s">
        <v>25</v>
      </c>
      <c r="EE4" s="20">
        <v>0.6</v>
      </c>
      <c r="EF4" t="s">
        <v>16</v>
      </c>
      <c r="EG4" s="20" t="s">
        <v>1088</v>
      </c>
      <c r="EH4" s="3">
        <v>2016</v>
      </c>
      <c r="EI4" s="3" t="s">
        <v>1062</v>
      </c>
      <c r="EJ4" s="3">
        <v>2</v>
      </c>
      <c r="EK4" s="3">
        <v>672</v>
      </c>
      <c r="EL4" s="3" t="s">
        <v>1080</v>
      </c>
      <c r="EM4" s="3" t="s">
        <v>1218</v>
      </c>
      <c r="EN4" s="3" t="s">
        <v>1046</v>
      </c>
      <c r="EO4" s="36" t="s">
        <v>1281</v>
      </c>
      <c r="EP4" s="36" t="s">
        <v>1157</v>
      </c>
      <c r="EQ4" s="3" t="s">
        <v>1222</v>
      </c>
      <c r="ER4" t="s">
        <v>1256</v>
      </c>
      <c r="ES4" s="3" t="s">
        <v>1222</v>
      </c>
      <c r="ET4" t="s">
        <v>1273</v>
      </c>
      <c r="EU4" t="s">
        <v>1273</v>
      </c>
      <c r="EV4" t="s">
        <v>1273</v>
      </c>
      <c r="EW4" s="3" t="s">
        <v>1063</v>
      </c>
      <c r="EX4" s="3">
        <v>115.59</v>
      </c>
      <c r="EY4" s="233">
        <f t="shared" si="0"/>
        <v>0.11559</v>
      </c>
      <c r="FA4" t="str">
        <f>'Indata byggnad och BBR krav'!Y9</f>
        <v>Fjärrvärme</v>
      </c>
      <c r="FB4" t="str">
        <f>'Indata byggnad och BBR krav'!Z9</f>
        <v>Generisk data</v>
      </c>
      <c r="FC4">
        <f>'Indata byggnad och BBR krav'!AA9</f>
        <v>0.06</v>
      </c>
    </row>
    <row r="5" spans="2:161" ht="16.5" customHeight="1" x14ac:dyDescent="0.25">
      <c r="F5" s="17"/>
      <c r="Z5" s="85" t="s">
        <v>1206</v>
      </c>
      <c r="BN5" s="16" t="s">
        <v>1122</v>
      </c>
      <c r="BO5" s="22">
        <f>'Indata byggnad och BBR krav'!C17</f>
        <v>50</v>
      </c>
      <c r="BP5" s="16" t="s">
        <v>1129</v>
      </c>
      <c r="DC5" s="25"/>
      <c r="DD5" s="25"/>
      <c r="DE5" s="25"/>
      <c r="DF5" s="25"/>
      <c r="DL5" s="25"/>
      <c r="DM5" s="25"/>
      <c r="DN5" s="25"/>
      <c r="DO5" s="25"/>
      <c r="DX5" s="3">
        <v>2</v>
      </c>
      <c r="DY5" t="s">
        <v>1053</v>
      </c>
      <c r="DZ5" t="s">
        <v>1085</v>
      </c>
      <c r="EA5" t="s">
        <v>1095</v>
      </c>
      <c r="EB5" s="20">
        <v>0.6</v>
      </c>
      <c r="EC5" s="20"/>
      <c r="ED5" s="20"/>
      <c r="EE5" s="20"/>
      <c r="EF5" t="s">
        <v>1076</v>
      </c>
      <c r="EG5" t="s">
        <v>1089</v>
      </c>
      <c r="EH5" s="3">
        <v>2017</v>
      </c>
      <c r="EI5" s="3" t="s">
        <v>1063</v>
      </c>
      <c r="EJ5" s="3">
        <v>3</v>
      </c>
      <c r="EK5" s="3">
        <v>744</v>
      </c>
      <c r="ER5" t="s">
        <v>1253</v>
      </c>
      <c r="ET5" t="s">
        <v>1253</v>
      </c>
      <c r="EU5" t="s">
        <v>1253</v>
      </c>
      <c r="EV5" t="s">
        <v>1253</v>
      </c>
      <c r="EW5" s="3" t="s">
        <v>1064</v>
      </c>
      <c r="EX5" s="3">
        <v>98.08</v>
      </c>
      <c r="EY5" s="233">
        <f t="shared" si="0"/>
        <v>9.8080000000000001E-2</v>
      </c>
      <c r="FA5" t="str">
        <f>'Indata byggnad och BBR krav'!Y10</f>
        <v>Biobränsle</v>
      </c>
      <c r="FB5" t="str">
        <f>'Indata byggnad och BBR krav'!Z10</f>
        <v>Generisk data</v>
      </c>
      <c r="FC5">
        <f>'Indata byggnad och BBR krav'!AA10</f>
        <v>2.1999999999999999E-2</v>
      </c>
    </row>
    <row r="6" spans="2:161" ht="16.5" customHeight="1" x14ac:dyDescent="0.25">
      <c r="F6" s="17"/>
      <c r="Z6" s="85" t="s">
        <v>1205</v>
      </c>
      <c r="AZ6" s="21"/>
      <c r="BN6" s="25" t="s">
        <v>1123</v>
      </c>
      <c r="BO6" s="22">
        <f>'Indata byggnad och BBR krav'!C18</f>
        <v>50</v>
      </c>
      <c r="BP6" s="16" t="s">
        <v>1129</v>
      </c>
      <c r="CC6" s="24"/>
      <c r="DD6" s="21"/>
      <c r="DM6" s="21"/>
      <c r="DX6" s="3">
        <v>3</v>
      </c>
      <c r="DY6" t="s">
        <v>1054</v>
      </c>
      <c r="DZ6" t="s">
        <v>1095</v>
      </c>
      <c r="EA6" t="s">
        <v>1096</v>
      </c>
      <c r="EB6" s="20">
        <v>1.8</v>
      </c>
      <c r="EC6" s="20"/>
      <c r="ED6" s="20"/>
      <c r="EE6" s="20"/>
      <c r="EF6" t="s">
        <v>1083</v>
      </c>
      <c r="EG6" t="s">
        <v>1090</v>
      </c>
      <c r="EH6" s="3">
        <v>2018</v>
      </c>
      <c r="EI6" s="3" t="s">
        <v>1064</v>
      </c>
      <c r="EJ6" s="3">
        <v>4</v>
      </c>
      <c r="EK6" s="3">
        <v>720</v>
      </c>
      <c r="EW6" s="3" t="s">
        <v>1065</v>
      </c>
      <c r="EX6" s="3">
        <v>68.42</v>
      </c>
      <c r="EY6" s="233">
        <f t="shared" si="0"/>
        <v>6.8420000000000009E-2</v>
      </c>
      <c r="FA6" t="str">
        <f>'Indata byggnad och BBR krav'!Y11</f>
        <v>Gas (Naturgas)</v>
      </c>
      <c r="FB6" t="str">
        <f>'Indata byggnad och BBR krav'!Z11</f>
        <v>Generisk data</v>
      </c>
      <c r="FC6">
        <f>'Indata byggnad och BBR krav'!AA11</f>
        <v>0.26369999999999999</v>
      </c>
    </row>
    <row r="7" spans="2:161" ht="28.5" customHeight="1" x14ac:dyDescent="0.25">
      <c r="F7" s="17"/>
      <c r="K7" s="3"/>
      <c r="L7" s="3"/>
      <c r="Y7" s="86"/>
      <c r="AZ7" s="21"/>
      <c r="BN7" s="24" t="s">
        <v>1246</v>
      </c>
      <c r="BO7" s="22">
        <f>(BO5*BO3+BO6*BO4)/100</f>
        <v>21</v>
      </c>
      <c r="BP7" s="16" t="s">
        <v>1124</v>
      </c>
      <c r="CC7" s="24"/>
      <c r="CD7" s="22"/>
      <c r="CI7" s="24"/>
      <c r="DD7" s="26"/>
      <c r="DM7" s="26"/>
      <c r="DX7" s="3">
        <v>4</v>
      </c>
      <c r="DY7" t="s">
        <v>1056</v>
      </c>
      <c r="DZ7" t="s">
        <v>1095</v>
      </c>
      <c r="EA7" t="s">
        <v>1097</v>
      </c>
      <c r="EB7" s="20">
        <v>1.8</v>
      </c>
      <c r="EC7" s="20"/>
      <c r="ED7" s="20"/>
      <c r="EE7" s="20"/>
      <c r="EH7" s="3">
        <v>2019</v>
      </c>
      <c r="EI7" s="3" t="s">
        <v>1065</v>
      </c>
      <c r="EJ7" s="3">
        <v>5</v>
      </c>
      <c r="EK7" s="3">
        <v>744</v>
      </c>
      <c r="EW7" s="3" t="s">
        <v>1066</v>
      </c>
      <c r="EX7" s="3">
        <v>41.13</v>
      </c>
      <c r="EY7" s="233">
        <f t="shared" si="0"/>
        <v>4.113E-2</v>
      </c>
      <c r="FA7" t="str">
        <f>'Indata byggnad och BBR krav'!Y12</f>
        <v>Olja</v>
      </c>
      <c r="FB7" t="str">
        <f>'Indata byggnad och BBR krav'!Z12</f>
        <v>Generisk data</v>
      </c>
      <c r="FC7">
        <f>'Indata byggnad och BBR krav'!AA12</f>
        <v>0.30130000000000001</v>
      </c>
    </row>
    <row r="8" spans="2:161" ht="16.5" customHeight="1" x14ac:dyDescent="0.25">
      <c r="F8" s="23"/>
      <c r="I8" s="3"/>
      <c r="J8" s="3"/>
      <c r="K8" s="3"/>
      <c r="L8" s="3"/>
      <c r="X8" s="110"/>
      <c r="Y8" s="86"/>
      <c r="AZ8" s="21"/>
      <c r="BN8" s="24" t="s">
        <v>1125</v>
      </c>
      <c r="BO8" s="184">
        <f>IF(AND($D$177="Separat mätdata finns",$D$194&gt;10),$D$194,$BO$7)</f>
        <v>21</v>
      </c>
      <c r="BP8" s="16" t="s">
        <v>1124</v>
      </c>
      <c r="CC8" s="24"/>
      <c r="CD8" s="22"/>
      <c r="DD8" s="26"/>
      <c r="DM8" s="26"/>
      <c r="DX8" s="3">
        <v>5</v>
      </c>
      <c r="DY8" t="s">
        <v>1057</v>
      </c>
      <c r="DZ8" t="s">
        <v>1097</v>
      </c>
      <c r="EB8" s="20"/>
      <c r="EC8" s="20"/>
      <c r="ED8" s="20"/>
      <c r="EE8" s="20"/>
      <c r="EH8" s="3">
        <v>2020</v>
      </c>
      <c r="EI8" s="3" t="s">
        <v>1066</v>
      </c>
      <c r="EJ8" s="3">
        <v>6</v>
      </c>
      <c r="EK8" s="3">
        <v>720</v>
      </c>
      <c r="EW8" s="3" t="s">
        <v>1067</v>
      </c>
      <c r="EX8" s="3">
        <v>30.96</v>
      </c>
      <c r="EY8" s="233">
        <f t="shared" si="0"/>
        <v>3.0960000000000001E-2</v>
      </c>
      <c r="FA8" t="str">
        <f>'Indata byggnad och BBR krav'!Y13</f>
        <v>Fjärrkyla</v>
      </c>
      <c r="FB8" t="str">
        <f>'Indata byggnad och BBR krav'!Z13</f>
        <v>Generisk data</v>
      </c>
      <c r="FC8">
        <f>'Indata byggnad och BBR krav'!AA13</f>
        <v>0.06</v>
      </c>
    </row>
    <row r="9" spans="2:161" ht="16.5" customHeight="1" x14ac:dyDescent="0.3">
      <c r="C9" s="15" t="s">
        <v>1415</v>
      </c>
      <c r="F9" s="23"/>
      <c r="I9" s="3"/>
      <c r="J9" s="3"/>
      <c r="K9" s="3"/>
      <c r="L9" s="3"/>
      <c r="Y9" s="161"/>
      <c r="AZ9" s="19" t="s">
        <v>1104</v>
      </c>
      <c r="BH9" s="19"/>
      <c r="BN9" s="24" t="s">
        <v>1126</v>
      </c>
      <c r="BO9" s="27">
        <f>BO8-BO7</f>
        <v>0</v>
      </c>
      <c r="BP9" s="16" t="s">
        <v>1124</v>
      </c>
      <c r="CB9" s="21" t="s">
        <v>1168</v>
      </c>
      <c r="CC9" s="24"/>
      <c r="CD9" s="22"/>
      <c r="CJ9" s="21" t="s">
        <v>1109</v>
      </c>
      <c r="DY9" t="s">
        <v>1055</v>
      </c>
      <c r="DZ9" t="s">
        <v>1096</v>
      </c>
      <c r="EC9" s="20"/>
      <c r="ED9" s="20"/>
      <c r="EE9" s="20"/>
      <c r="EH9" s="3">
        <v>2021</v>
      </c>
      <c r="EI9" s="3" t="s">
        <v>1067</v>
      </c>
      <c r="EJ9" s="3">
        <v>7</v>
      </c>
      <c r="EK9" s="3">
        <v>744</v>
      </c>
      <c r="EW9" s="3" t="s">
        <v>1068</v>
      </c>
      <c r="EX9" s="3">
        <v>33.47</v>
      </c>
      <c r="EY9" s="233">
        <f t="shared" si="0"/>
        <v>3.347E-2</v>
      </c>
      <c r="FA9">
        <f>'Indata byggnad och BBR krav'!Y14</f>
        <v>0</v>
      </c>
      <c r="FB9">
        <f>'Indata byggnad och BBR krav'!Z14</f>
        <v>0</v>
      </c>
      <c r="FC9">
        <f>'Indata byggnad och BBR krav'!AA14</f>
        <v>0</v>
      </c>
    </row>
    <row r="10" spans="2:161" ht="28.5" customHeight="1" x14ac:dyDescent="0.3">
      <c r="C10" s="318" t="s">
        <v>1464</v>
      </c>
      <c r="Y10" s="161"/>
      <c r="AZ10" s="21"/>
      <c r="BH10" s="19"/>
      <c r="BN10" s="24" t="s">
        <v>1178</v>
      </c>
      <c r="BO10" s="27">
        <f>IF(BO9&gt;0,INT(BO9+0.3),IF(BO9&lt;0,INT(BO9),0))</f>
        <v>0</v>
      </c>
      <c r="BP10" s="16" t="s">
        <v>1124</v>
      </c>
      <c r="DY10" t="s">
        <v>1058</v>
      </c>
      <c r="DZ10" t="s">
        <v>1095</v>
      </c>
      <c r="EC10" s="20"/>
      <c r="ED10" s="20"/>
      <c r="EE10" s="20"/>
      <c r="EH10" s="3">
        <v>2022</v>
      </c>
      <c r="EI10" s="3" t="s">
        <v>1068</v>
      </c>
      <c r="EJ10" s="3">
        <v>8</v>
      </c>
      <c r="EK10" s="3">
        <v>744</v>
      </c>
      <c r="EW10" s="3" t="s">
        <v>1069</v>
      </c>
      <c r="EX10" s="3">
        <v>54.63</v>
      </c>
      <c r="EY10" s="233">
        <f t="shared" si="0"/>
        <v>5.4630000000000005E-2</v>
      </c>
    </row>
    <row r="11" spans="2:161" ht="16.5" customHeight="1" x14ac:dyDescent="0.25">
      <c r="B11" s="267">
        <v>1</v>
      </c>
      <c r="C11" s="268" t="s">
        <v>1258</v>
      </c>
      <c r="D11" s="269"/>
      <c r="E11" s="269"/>
      <c r="F11" s="257"/>
      <c r="G11" s="257"/>
      <c r="H11" s="257"/>
      <c r="I11" s="257"/>
      <c r="J11" s="256"/>
      <c r="K11" s="256"/>
      <c r="L11" s="256"/>
      <c r="M11" s="257"/>
      <c r="N11" s="257"/>
      <c r="O11" s="257"/>
      <c r="P11" s="257"/>
      <c r="Q11" s="257"/>
      <c r="R11" s="257"/>
      <c r="S11" s="257"/>
      <c r="T11" s="257"/>
      <c r="U11" s="257"/>
      <c r="V11" s="257"/>
      <c r="W11" s="258"/>
      <c r="AZ11" s="21"/>
      <c r="BH11" s="21"/>
      <c r="BN11" s="16" t="s">
        <v>1119</v>
      </c>
      <c r="BO11" s="123">
        <f ca="1">IF(BO10&gt;1,OFFSET(Sänkningsvärde!$DI$359,BO10,0),IF(BO10&lt;-1,OFFSET(Sänkningsvärde!$DI$359,BO10-1,0),0))</f>
        <v>0</v>
      </c>
      <c r="BP11" s="200" t="s">
        <v>1247</v>
      </c>
      <c r="CC11" s="24" t="s">
        <v>1203</v>
      </c>
      <c r="CD11" s="29">
        <f>BD171</f>
        <v>0</v>
      </c>
      <c r="CJ11" s="24" t="s">
        <v>1303</v>
      </c>
      <c r="CK11" s="30">
        <f>$AH$142</f>
        <v>0</v>
      </c>
      <c r="DD11" s="185" t="s">
        <v>1468</v>
      </c>
      <c r="DE11" s="28"/>
      <c r="DM11" s="185" t="s">
        <v>1469</v>
      </c>
      <c r="DN11" s="28"/>
      <c r="EI11" s="3" t="s">
        <v>1069</v>
      </c>
      <c r="EJ11" s="3">
        <v>9</v>
      </c>
      <c r="EK11" s="3">
        <v>720</v>
      </c>
      <c r="EW11" s="3" t="s">
        <v>1070</v>
      </c>
      <c r="EX11" s="3">
        <v>90.89</v>
      </c>
      <c r="EY11" s="233">
        <f t="shared" si="0"/>
        <v>9.0889999999999999E-2</v>
      </c>
    </row>
    <row r="12" spans="2:161" ht="16.5" customHeight="1" x14ac:dyDescent="0.25">
      <c r="Y12" s="86"/>
      <c r="AZ12" s="21"/>
      <c r="BH12" s="21"/>
      <c r="BN12" s="16" t="s">
        <v>1120</v>
      </c>
      <c r="BO12" s="123">
        <f ca="1">1-BO11</f>
        <v>1</v>
      </c>
      <c r="BP12" s="119"/>
      <c r="CJ12" s="26"/>
      <c r="CM12" s="22"/>
      <c r="CU12" s="21" t="s">
        <v>1102</v>
      </c>
      <c r="DD12" s="21" t="s">
        <v>1110</v>
      </c>
      <c r="DM12" s="21" t="s">
        <v>1110</v>
      </c>
      <c r="EI12" s="3" t="s">
        <v>1070</v>
      </c>
      <c r="EJ12" s="3">
        <v>10</v>
      </c>
      <c r="EK12" s="3">
        <v>744</v>
      </c>
      <c r="EW12" s="3" t="s">
        <v>1071</v>
      </c>
      <c r="EX12" s="3">
        <v>106.04</v>
      </c>
      <c r="EY12" s="233">
        <f t="shared" si="0"/>
        <v>0.10604000000000001</v>
      </c>
    </row>
    <row r="13" spans="2:161" ht="16.5" customHeight="1" x14ac:dyDescent="0.3">
      <c r="F13" s="350" t="s">
        <v>1138</v>
      </c>
      <c r="G13" s="350"/>
      <c r="I13" s="60" t="s">
        <v>1047</v>
      </c>
      <c r="L13" s="60" t="s">
        <v>1048</v>
      </c>
      <c r="O13" s="60" t="s">
        <v>1049</v>
      </c>
      <c r="Y13" s="18" t="s">
        <v>1103</v>
      </c>
      <c r="AZ13" s="21"/>
      <c r="BH13" s="16" t="s">
        <v>1170</v>
      </c>
      <c r="BS13" s="22"/>
      <c r="BY13" s="22"/>
      <c r="BZ13" s="22"/>
      <c r="CA13" s="24" t="s">
        <v>1093</v>
      </c>
      <c r="CB13" s="32" t="s">
        <v>14</v>
      </c>
      <c r="CC13" s="32" t="s">
        <v>1085</v>
      </c>
      <c r="CD13" s="32" t="s">
        <v>1100</v>
      </c>
      <c r="CE13" s="32" t="s">
        <v>1096</v>
      </c>
      <c r="CF13" s="32" t="s">
        <v>1097</v>
      </c>
      <c r="CI13" s="24" t="s">
        <v>1093</v>
      </c>
      <c r="CJ13" s="32" t="s">
        <v>14</v>
      </c>
      <c r="CK13" s="32" t="s">
        <v>1085</v>
      </c>
      <c r="CL13" s="32" t="s">
        <v>1100</v>
      </c>
      <c r="CM13" s="32" t="s">
        <v>1096</v>
      </c>
      <c r="CN13" s="32" t="s">
        <v>1097</v>
      </c>
      <c r="CP13" s="22"/>
      <c r="CQ13" s="22"/>
      <c r="CR13" s="22"/>
      <c r="CS13" s="22"/>
      <c r="CU13" s="26"/>
      <c r="CX13" s="22"/>
      <c r="DB13" s="22"/>
      <c r="DD13" s="26"/>
      <c r="DG13" s="22"/>
      <c r="DM13" s="26"/>
      <c r="DP13" s="22"/>
      <c r="EI13" s="3" t="s">
        <v>1071</v>
      </c>
      <c r="EJ13" s="3">
        <v>11</v>
      </c>
      <c r="EK13" s="3">
        <v>720</v>
      </c>
      <c r="EW13" s="3" t="s">
        <v>1072</v>
      </c>
      <c r="EX13" s="192">
        <v>117.01</v>
      </c>
      <c r="EY13" s="234">
        <f t="shared" si="0"/>
        <v>0.11701</v>
      </c>
    </row>
    <row r="14" spans="2:161" ht="16.5" customHeight="1" x14ac:dyDescent="0.25">
      <c r="C14" s="33" t="s">
        <v>1050</v>
      </c>
      <c r="D14" s="246">
        <v>1</v>
      </c>
      <c r="F14" s="34" t="s">
        <v>9</v>
      </c>
      <c r="G14" s="242">
        <v>2019</v>
      </c>
      <c r="H14" s="3"/>
      <c r="I14" s="33" t="s">
        <v>1208</v>
      </c>
      <c r="J14" s="242" t="s">
        <v>14</v>
      </c>
      <c r="K14" s="3"/>
      <c r="L14" s="33" t="s">
        <v>1208</v>
      </c>
      <c r="M14" s="242" t="s">
        <v>15</v>
      </c>
      <c r="N14" s="3"/>
      <c r="O14" s="33" t="s">
        <v>1208</v>
      </c>
      <c r="P14" s="242" t="s">
        <v>1053</v>
      </c>
      <c r="Q14" s="3"/>
      <c r="R14" s="3"/>
      <c r="S14" s="3"/>
      <c r="T14" s="3"/>
      <c r="U14" s="3"/>
      <c r="V14" s="3"/>
      <c r="X14" s="110"/>
      <c r="Y14" s="110"/>
      <c r="Z14" s="110"/>
      <c r="AA14" s="110"/>
      <c r="AB14" s="110"/>
      <c r="AC14" s="110"/>
      <c r="AY14" s="24"/>
      <c r="AZ14" s="21"/>
      <c r="BG14" s="21"/>
      <c r="BH14" s="22" t="s">
        <v>1045</v>
      </c>
      <c r="BI14" s="22" t="s">
        <v>1173</v>
      </c>
      <c r="BL14" s="22"/>
      <c r="BM14" s="24" t="s">
        <v>1093</v>
      </c>
      <c r="BN14" s="32" t="s">
        <v>14</v>
      </c>
      <c r="BO14" s="32" t="s">
        <v>1085</v>
      </c>
      <c r="BP14" s="32" t="s">
        <v>1100</v>
      </c>
      <c r="BQ14" s="32" t="s">
        <v>1096</v>
      </c>
      <c r="BR14" s="32" t="s">
        <v>1097</v>
      </c>
      <c r="BS14" s="22"/>
      <c r="BT14" s="25" t="s">
        <v>1181</v>
      </c>
      <c r="BU14" s="22"/>
      <c r="BV14" s="22"/>
      <c r="BW14" s="22"/>
      <c r="BX14" s="22"/>
      <c r="BY14" s="22"/>
      <c r="BZ14" s="22"/>
      <c r="CA14" s="16" t="s">
        <v>13</v>
      </c>
      <c r="CB14" s="32">
        <f>IF($Y$31&gt;0,$Y$32/$Y$31,0)</f>
        <v>0</v>
      </c>
      <c r="CC14" s="30">
        <f>IF(Z31&gt;0,Z32/Z31,0)</f>
        <v>0</v>
      </c>
      <c r="CD14" s="32">
        <f>IF(AA31&gt;0,AA32/AA31,0)</f>
        <v>0</v>
      </c>
      <c r="CE14" s="32">
        <f>IF(AB31&gt;0,AB32/AB31,0)</f>
        <v>0</v>
      </c>
      <c r="CF14" s="32">
        <f>IF(AC31&gt;0,AC32/AC31,0)</f>
        <v>0</v>
      </c>
      <c r="CI14" s="24" t="s">
        <v>13</v>
      </c>
      <c r="CJ14" s="32">
        <f>IF(Y31&gt;0,Y32/Y31,0)</f>
        <v>0</v>
      </c>
      <c r="CK14" s="30">
        <f>IF(Z31&gt;0,Z32/Z31,0)</f>
        <v>0</v>
      </c>
      <c r="CL14" s="32">
        <f>IF(AA31&gt;0,AA32/AA31,0)</f>
        <v>0</v>
      </c>
      <c r="CM14" s="32">
        <f>IF(AB31&gt;0,AB32/AB31,0)</f>
        <v>0</v>
      </c>
      <c r="CN14" s="32">
        <f>IF(AC31&gt;0,AC32/AC31,0)</f>
        <v>0</v>
      </c>
      <c r="CP14" s="22"/>
      <c r="CQ14" s="22"/>
      <c r="CR14" s="22"/>
      <c r="CS14" s="22"/>
      <c r="CT14" s="24" t="s">
        <v>1093</v>
      </c>
      <c r="CU14" s="32" t="s">
        <v>14</v>
      </c>
      <c r="CV14" s="32" t="s">
        <v>1085</v>
      </c>
      <c r="CW14" s="32" t="s">
        <v>1100</v>
      </c>
      <c r="CX14" s="32" t="s">
        <v>1096</v>
      </c>
      <c r="CY14" s="32" t="s">
        <v>1097</v>
      </c>
      <c r="DB14" s="22"/>
      <c r="DC14" s="24" t="s">
        <v>1093</v>
      </c>
      <c r="DD14" s="32" t="s">
        <v>14</v>
      </c>
      <c r="DE14" s="32" t="s">
        <v>1085</v>
      </c>
      <c r="DF14" s="32" t="s">
        <v>1100</v>
      </c>
      <c r="DG14" s="32" t="s">
        <v>1096</v>
      </c>
      <c r="DH14" s="32" t="s">
        <v>1097</v>
      </c>
      <c r="DL14" s="24" t="s">
        <v>1093</v>
      </c>
      <c r="DM14" s="32" t="s">
        <v>14</v>
      </c>
      <c r="DN14" s="32" t="s">
        <v>1085</v>
      </c>
      <c r="DO14" s="32" t="s">
        <v>1100</v>
      </c>
      <c r="DP14" s="32" t="s">
        <v>1096</v>
      </c>
      <c r="DQ14" s="32" t="s">
        <v>1097</v>
      </c>
      <c r="EI14" s="3" t="s">
        <v>1072</v>
      </c>
      <c r="EJ14" s="3">
        <v>12</v>
      </c>
      <c r="EK14" s="3">
        <v>744</v>
      </c>
      <c r="EX14" s="235">
        <f>SUM(EX2:EX13)</f>
        <v>1000.02</v>
      </c>
      <c r="EY14" s="235">
        <f>SUM(EY2:EY13)</f>
        <v>1.0000199999999999</v>
      </c>
    </row>
    <row r="15" spans="2:161" ht="16.5" customHeight="1" x14ac:dyDescent="0.25">
      <c r="C15" s="152" t="s">
        <v>1354</v>
      </c>
      <c r="F15" s="34" t="s">
        <v>19</v>
      </c>
      <c r="G15" s="242" t="s">
        <v>1061</v>
      </c>
      <c r="H15" s="3"/>
      <c r="I15" s="33" t="s">
        <v>13</v>
      </c>
      <c r="J15" s="246">
        <v>0.98</v>
      </c>
      <c r="K15" s="2"/>
      <c r="L15" s="33" t="s">
        <v>13</v>
      </c>
      <c r="M15" s="246">
        <v>2</v>
      </c>
      <c r="N15" s="2"/>
      <c r="O15" s="33" t="s">
        <v>13</v>
      </c>
      <c r="P15" s="246">
        <v>1</v>
      </c>
      <c r="Q15" s="2"/>
      <c r="R15" s="2"/>
      <c r="S15" s="2"/>
      <c r="T15" s="2"/>
      <c r="U15" s="2"/>
      <c r="V15" s="2"/>
      <c r="X15" s="110"/>
      <c r="Y15" s="110"/>
      <c r="Z15" s="110"/>
      <c r="AA15" s="110"/>
      <c r="AB15" s="110"/>
      <c r="AC15" s="110"/>
      <c r="AN15" s="84" t="s">
        <v>1313</v>
      </c>
      <c r="AT15" s="86" t="s">
        <v>1441</v>
      </c>
      <c r="AY15" s="24"/>
      <c r="AZ15" s="21"/>
      <c r="BG15" s="24" t="s">
        <v>1175</v>
      </c>
      <c r="BH15" s="22" t="str">
        <f>D179</f>
        <v>nov</v>
      </c>
      <c r="BI15" s="22">
        <f>MATCH(BH15,$EI$3:$EI$14,0)</f>
        <v>11</v>
      </c>
      <c r="BL15" s="22"/>
      <c r="BM15" s="22"/>
      <c r="BN15" s="22"/>
      <c r="BO15" s="22"/>
      <c r="BP15" s="22"/>
      <c r="BQ15" s="22"/>
      <c r="BR15" s="22"/>
      <c r="BS15" s="22"/>
      <c r="BT15" s="22" t="s">
        <v>14</v>
      </c>
      <c r="BU15" s="22" t="s">
        <v>1085</v>
      </c>
      <c r="BV15" s="22" t="s">
        <v>1100</v>
      </c>
      <c r="BW15" s="22" t="s">
        <v>1096</v>
      </c>
      <c r="BX15" s="22" t="s">
        <v>1097</v>
      </c>
      <c r="BY15" s="22"/>
      <c r="BZ15" s="22"/>
      <c r="CA15" s="24" t="s">
        <v>1304</v>
      </c>
      <c r="CB15" s="30">
        <f ca="1">IF(BN31&gt;0,($CD$11/CB14)/1000*BN32,0)</f>
        <v>0</v>
      </c>
      <c r="CC15" s="30">
        <f ca="1">IF(BO31&gt;0,($CD$11/CC14)/1000*BO32,0)</f>
        <v>0</v>
      </c>
      <c r="CD15" s="30">
        <f ca="1">IF(BP31&gt;0,($CD$11/CD14)/1000*BP32,0)</f>
        <v>0</v>
      </c>
      <c r="CE15" s="30">
        <f ca="1">IF(BQ31&gt;0,($CD$11/CE14)/1000*BQ32,0)</f>
        <v>0</v>
      </c>
      <c r="CF15" s="30">
        <f ca="1">IF(BR31&gt;0,($CD$11/CF14)/1000*BR32,0)</f>
        <v>0</v>
      </c>
      <c r="CI15" s="24" t="s">
        <v>1304</v>
      </c>
      <c r="CJ15" s="30">
        <f ca="1">IF(CB31&gt;0,($CK$11/CJ14)*CB32,0)</f>
        <v>0</v>
      </c>
      <c r="CK15" s="30">
        <f ca="1">IF(CC31&gt;0,($CK$11/CK14)*CC32,0)</f>
        <v>0</v>
      </c>
      <c r="CL15" s="30">
        <f ca="1">IF(CD31&gt;0,($CK$11/CL14)*CD32,0)</f>
        <v>0</v>
      </c>
      <c r="CM15" s="30">
        <f ca="1">IF(CE31&gt;0,($CK$11/CM14)*CE32,0)</f>
        <v>0</v>
      </c>
      <c r="CN15" s="30">
        <f ca="1">IF(CF31&gt;0,($CK$11/CN14)*CF32,0)</f>
        <v>0</v>
      </c>
      <c r="CP15" s="22"/>
      <c r="CQ15" s="22"/>
      <c r="CR15" s="22"/>
      <c r="CS15" s="22"/>
      <c r="DB15" s="22"/>
      <c r="DC15" s="24" t="s">
        <v>1285</v>
      </c>
      <c r="DD15" s="30">
        <v>1</v>
      </c>
      <c r="DE15" s="30">
        <v>1.6</v>
      </c>
      <c r="DF15" s="30">
        <v>1</v>
      </c>
      <c r="DG15" s="30">
        <v>1</v>
      </c>
      <c r="DH15" s="30">
        <v>1</v>
      </c>
      <c r="DL15" s="24" t="s">
        <v>1285</v>
      </c>
      <c r="DM15" s="30">
        <v>1</v>
      </c>
      <c r="DN15" s="30">
        <v>1.6</v>
      </c>
      <c r="DO15" s="30">
        <v>1</v>
      </c>
      <c r="DP15" s="30">
        <v>1</v>
      </c>
      <c r="DQ15" s="30">
        <v>1</v>
      </c>
      <c r="EI15" s="3" t="s">
        <v>1061</v>
      </c>
      <c r="EJ15" s="3">
        <v>13</v>
      </c>
      <c r="EK15" s="3"/>
    </row>
    <row r="16" spans="2:161" ht="16.5" customHeight="1" x14ac:dyDescent="0.25">
      <c r="C16" s="351"/>
      <c r="D16" s="352"/>
      <c r="F16" s="308" t="s">
        <v>1471</v>
      </c>
      <c r="G16" s="60"/>
      <c r="H16" s="3"/>
      <c r="I16" s="34" t="s">
        <v>1136</v>
      </c>
      <c r="J16" s="242" t="s">
        <v>1075</v>
      </c>
      <c r="K16" s="227"/>
      <c r="L16" s="34" t="s">
        <v>1136</v>
      </c>
      <c r="M16" s="242" t="s">
        <v>1046</v>
      </c>
      <c r="O16" s="34" t="s">
        <v>1136</v>
      </c>
      <c r="P16" s="242" t="s">
        <v>1046</v>
      </c>
      <c r="Q16" s="3"/>
      <c r="R16" s="3"/>
      <c r="S16" s="3"/>
      <c r="T16" s="3"/>
      <c r="U16" s="3"/>
      <c r="V16" s="3"/>
      <c r="X16" s="110"/>
      <c r="Y16" s="86" t="s">
        <v>1099</v>
      </c>
      <c r="Z16" s="162"/>
      <c r="AA16" s="162"/>
      <c r="AG16" s="86" t="s">
        <v>1425</v>
      </c>
      <c r="AW16" s="348" t="s">
        <v>1443</v>
      </c>
      <c r="AY16" s="24"/>
      <c r="AZ16" s="21" t="s">
        <v>1099</v>
      </c>
      <c r="BA16" s="22"/>
      <c r="BB16" s="22"/>
      <c r="BG16" s="24" t="s">
        <v>1176</v>
      </c>
      <c r="BH16" s="22" t="str">
        <f>D180</f>
        <v>feb</v>
      </c>
      <c r="BI16" s="22">
        <f>MATCH(BH16,EI3:EI14,0)</f>
        <v>2</v>
      </c>
      <c r="BM16" s="22"/>
      <c r="BN16" s="22"/>
      <c r="BO16" s="22"/>
      <c r="BP16" s="22"/>
      <c r="BS16" s="22"/>
      <c r="BT16" s="22" t="s">
        <v>1182</v>
      </c>
      <c r="BU16" s="22" t="s">
        <v>1182</v>
      </c>
      <c r="BV16" s="22" t="s">
        <v>1182</v>
      </c>
      <c r="BW16" s="22" t="s">
        <v>1182</v>
      </c>
      <c r="BX16" s="22" t="s">
        <v>1182</v>
      </c>
      <c r="BY16" s="22"/>
      <c r="CP16" s="22"/>
      <c r="CQ16" s="22"/>
      <c r="CR16" s="22"/>
      <c r="CS16" s="22"/>
      <c r="CT16" s="24"/>
      <c r="CU16" s="22"/>
      <c r="CV16" s="22"/>
      <c r="CW16" s="22"/>
      <c r="CX16" s="22"/>
      <c r="DB16" s="22"/>
      <c r="DC16" s="24" t="s">
        <v>1286</v>
      </c>
      <c r="DD16" s="32">
        <v>0.7</v>
      </c>
      <c r="DE16" s="32">
        <v>1.8</v>
      </c>
      <c r="DF16" s="32">
        <v>0.6</v>
      </c>
      <c r="DG16" s="32">
        <v>1.8</v>
      </c>
      <c r="DH16" s="32">
        <v>1.8</v>
      </c>
      <c r="DL16" s="24" t="s">
        <v>1286</v>
      </c>
      <c r="DM16" s="32">
        <v>0.7</v>
      </c>
      <c r="DN16" s="32">
        <v>1.8</v>
      </c>
      <c r="DO16" s="32">
        <v>0.6</v>
      </c>
      <c r="DP16" s="32">
        <v>1.8</v>
      </c>
      <c r="DQ16" s="32">
        <v>1.8</v>
      </c>
      <c r="EI16" s="3" t="s">
        <v>1062</v>
      </c>
      <c r="EJ16" s="3">
        <v>14</v>
      </c>
      <c r="EK16" s="3"/>
    </row>
    <row r="17" spans="1:156" ht="16.5" customHeight="1" x14ac:dyDescent="0.25">
      <c r="B17" s="36"/>
      <c r="C17" s="353"/>
      <c r="D17" s="354"/>
      <c r="E17" s="36"/>
      <c r="F17" s="36"/>
      <c r="G17" s="37"/>
      <c r="H17" s="37"/>
      <c r="I17" s="38"/>
      <c r="J17" s="39" t="s">
        <v>1132</v>
      </c>
      <c r="K17" s="39"/>
      <c r="L17" s="39"/>
      <c r="M17" s="39" t="s">
        <v>1132</v>
      </c>
      <c r="N17" s="39"/>
      <c r="O17" s="39"/>
      <c r="P17" s="39" t="s">
        <v>1132</v>
      </c>
      <c r="Q17" s="40"/>
      <c r="R17" s="40"/>
      <c r="S17" s="40"/>
      <c r="T17" s="40"/>
      <c r="U17" s="40"/>
      <c r="V17" s="40"/>
      <c r="W17" s="36"/>
      <c r="Y17" s="86"/>
      <c r="Z17" s="162"/>
      <c r="AA17" s="162"/>
      <c r="AG17" s="84" t="s">
        <v>1426</v>
      </c>
      <c r="AH17" s="162"/>
      <c r="AI17" s="162"/>
      <c r="AN17" s="86" t="s">
        <v>1442</v>
      </c>
      <c r="AT17" s="348" t="s">
        <v>1437</v>
      </c>
      <c r="AU17" s="348" t="s">
        <v>1312</v>
      </c>
      <c r="AW17" s="348"/>
      <c r="AZ17" s="22"/>
      <c r="BA17" s="22"/>
      <c r="BB17" s="22"/>
      <c r="BT17" s="27">
        <f ca="1">IF($BM$19=1,BN19,0)+IF($BM$20=1,BN20,0)+IF($BM$21=1,BN21,0)+IF($BM$22=1,BN22,0)+IF($BM$23=1,BN23,0)+IF($BM$24=1,BN24,0)+IF($BM$25=1,BN25,0)+IF($BM$26=1,BN26,0)+IF($BM$27=1,BN27,0)+IF($BM$28=1,BN28,0)+IF($BM$29=1,BN29,0)+IF($BM$30=1,BN30,0)</f>
        <v>0</v>
      </c>
      <c r="BU17" s="27">
        <f ca="1">IF($BM$19=1,BO19,0)+IF($BM$20=1,BO20,0)+IF($BM$21=1,BO21,0)+IF($BM$22=1,BO22,0)+IF($BM$23=1,BO23,0)+IF($BM$24=1,BO24,0)+IF($BM$25=1,BO25,0)+IF($BM$26=1,BO26,0)+IF($BM$27=1,BO27,0)+IF($BM$28=1,BO28,0)+IF($BM$29=1,BO29,0)+IF($BM$30=1,BO30,0)</f>
        <v>0</v>
      </c>
      <c r="BV17" s="27">
        <f ca="1">IF($BM$19=1,BP19,0)+IF($BM$20=1,BP20,0)+IF($BM$21=1,BP21,0)+IF($BM$22=1,BP22,0)+IF($BM$23=1,BP23,0)+IF($BM$24=1,BP24,0)+IF($BM$25=1,BP25,0)+IF($BM$26=1,BP26,0)+IF($BM$27=1,BP27,0)+IF($BM$28=1,BP28,0)+IF($BM$29=1,BP29,0)+IF($BM$30=1,BP30,0)</f>
        <v>0</v>
      </c>
      <c r="BW17" s="27">
        <f ca="1">IF($BM$19=1,BQ19,0)+IF($BM$20=1,BQ20,0)+IF($BM$21=1,BQ21,0)+IF($BM$22=1,BQ22,0)+IF($BM$23=1,BQ23,0)+IF($BM$24=1,BQ24,0)+IF($BM$25=1,BQ25,0)+IF($BM$26=1,BQ26,0)+IF($BM$27=1,BQ27,0)+IF($BM$28=1,BQ28,0)+IF($BM$29=1,BQ29,0)+IF($BM$30=1,BQ30,0)</f>
        <v>0</v>
      </c>
      <c r="BX17" s="27">
        <f ca="1">IF($BM$19=1,BR19,0)+IF($BM$20=1,BR20,0)+IF($BM$21=1,BR21,0)+IF($BM$22=1,BR22,0)+IF($BM$23=1,BR23,0)+IF($BM$24=1,BR24,0)+IF($BM$25=1,BR25,0)+IF($BM$26=1,BR26,0)+IF($BM$27=1,BR27,0)+IF($BM$28=1,BR28,0)+IF($BM$29=1,BR29,0)+IF($BM$30=1,BR30,0)</f>
        <v>0</v>
      </c>
      <c r="CO17" s="24"/>
      <c r="CP17" s="24"/>
      <c r="CQ17" s="25" t="s">
        <v>1186</v>
      </c>
      <c r="CR17" s="24"/>
      <c r="CS17" s="24"/>
      <c r="CT17" s="24"/>
      <c r="CU17" s="22" t="s">
        <v>14</v>
      </c>
      <c r="CV17" s="22" t="s">
        <v>1085</v>
      </c>
      <c r="CW17" s="22" t="s">
        <v>1100</v>
      </c>
      <c r="CX17" s="22" t="s">
        <v>1096</v>
      </c>
      <c r="CY17" s="22" t="s">
        <v>1097</v>
      </c>
      <c r="DB17" s="24"/>
      <c r="DC17" s="24"/>
      <c r="DD17" s="24"/>
      <c r="DE17" s="24"/>
      <c r="DF17" s="24"/>
      <c r="DG17" s="24"/>
      <c r="DH17" s="24"/>
      <c r="DL17" s="24"/>
      <c r="DM17" s="24"/>
      <c r="DN17" s="24"/>
      <c r="DO17" s="24"/>
      <c r="DP17" s="24"/>
      <c r="DQ17" s="24"/>
      <c r="EI17" s="3" t="s">
        <v>1063</v>
      </c>
      <c r="EJ17" s="3">
        <v>15</v>
      </c>
      <c r="EK17" s="3"/>
    </row>
    <row r="18" spans="1:156" ht="16.5" customHeight="1" x14ac:dyDescent="0.25">
      <c r="A18" s="36"/>
      <c r="C18" s="353"/>
      <c r="D18" s="354"/>
      <c r="F18" s="262" t="s">
        <v>1044</v>
      </c>
      <c r="G18" s="262" t="s">
        <v>1045</v>
      </c>
      <c r="H18" s="3"/>
      <c r="I18" s="23" t="s">
        <v>1075</v>
      </c>
      <c r="J18" s="262" t="str">
        <f>J16</f>
        <v>Levererad energi</v>
      </c>
      <c r="K18" s="3"/>
      <c r="L18" s="23" t="s">
        <v>1075</v>
      </c>
      <c r="M18" s="262" t="str">
        <f>M16</f>
        <v>Producerad energi</v>
      </c>
      <c r="N18" s="3"/>
      <c r="O18" s="23" t="s">
        <v>1075</v>
      </c>
      <c r="P18" s="262" t="str">
        <f>P16</f>
        <v>Producerad energi</v>
      </c>
      <c r="Q18" s="3"/>
      <c r="R18" s="3"/>
      <c r="S18" s="3"/>
      <c r="T18" s="3"/>
      <c r="U18" s="3"/>
      <c r="V18" s="3"/>
      <c r="Y18" s="162" t="s">
        <v>14</v>
      </c>
      <c r="Z18" s="162" t="s">
        <v>1085</v>
      </c>
      <c r="AA18" s="162" t="s">
        <v>1100</v>
      </c>
      <c r="AB18" s="162" t="s">
        <v>1096</v>
      </c>
      <c r="AC18" s="162" t="s">
        <v>1097</v>
      </c>
      <c r="AD18" s="162" t="s">
        <v>1094</v>
      </c>
      <c r="AE18" s="84"/>
      <c r="AG18" s="162" t="s">
        <v>14</v>
      </c>
      <c r="AH18" s="162" t="s">
        <v>1085</v>
      </c>
      <c r="AI18" s="162" t="s">
        <v>1100</v>
      </c>
      <c r="AJ18" s="162" t="s">
        <v>1096</v>
      </c>
      <c r="AK18" s="162" t="s">
        <v>1097</v>
      </c>
      <c r="AL18" s="162" t="s">
        <v>1094</v>
      </c>
      <c r="AM18" s="110"/>
      <c r="AN18" s="162" t="s">
        <v>14</v>
      </c>
      <c r="AO18" s="162" t="s">
        <v>1085</v>
      </c>
      <c r="AP18" s="162" t="s">
        <v>1100</v>
      </c>
      <c r="AQ18" s="162" t="s">
        <v>1096</v>
      </c>
      <c r="AR18" s="162" t="s">
        <v>1097</v>
      </c>
      <c r="AS18" s="162" t="s">
        <v>1094</v>
      </c>
      <c r="AT18" s="349"/>
      <c r="AU18" s="349"/>
      <c r="AV18" s="84" t="s">
        <v>1368</v>
      </c>
      <c r="AW18" s="349"/>
      <c r="AX18" s="84" t="s">
        <v>1368</v>
      </c>
      <c r="AZ18" s="22" t="s">
        <v>14</v>
      </c>
      <c r="BA18" s="22" t="s">
        <v>1085</v>
      </c>
      <c r="BB18" s="22" t="s">
        <v>1100</v>
      </c>
      <c r="BC18" s="22" t="s">
        <v>1096</v>
      </c>
      <c r="BD18" s="22" t="s">
        <v>1097</v>
      </c>
      <c r="BE18" s="22" t="s">
        <v>1094</v>
      </c>
      <c r="BH18" s="22" t="s">
        <v>1045</v>
      </c>
      <c r="BI18" s="22" t="s">
        <v>1173</v>
      </c>
      <c r="BJ18" s="22" t="s">
        <v>1180</v>
      </c>
      <c r="BK18" s="16" t="s">
        <v>1174</v>
      </c>
      <c r="BL18" s="22" t="s">
        <v>1179</v>
      </c>
      <c r="BM18" s="22" t="s">
        <v>1180</v>
      </c>
      <c r="BN18" s="22" t="s">
        <v>14</v>
      </c>
      <c r="BO18" s="22" t="s">
        <v>1085</v>
      </c>
      <c r="BP18" s="22" t="s">
        <v>1100</v>
      </c>
      <c r="BQ18" s="22" t="s">
        <v>1096</v>
      </c>
      <c r="BR18" s="22" t="s">
        <v>1097</v>
      </c>
      <c r="BS18" s="22" t="s">
        <v>1094</v>
      </c>
      <c r="BT18" s="22" t="s">
        <v>1169</v>
      </c>
      <c r="BU18" s="22" t="s">
        <v>1169</v>
      </c>
      <c r="BV18" s="22" t="s">
        <v>1169</v>
      </c>
      <c r="BW18" s="22" t="s">
        <v>1169</v>
      </c>
      <c r="BX18" s="22" t="s">
        <v>1169</v>
      </c>
      <c r="BY18" s="22"/>
      <c r="BZ18" s="22" t="s">
        <v>1179</v>
      </c>
      <c r="CA18" s="22" t="s">
        <v>1180</v>
      </c>
      <c r="CB18" s="22" t="s">
        <v>14</v>
      </c>
      <c r="CC18" s="22" t="s">
        <v>1085</v>
      </c>
      <c r="CD18" s="22" t="s">
        <v>1100</v>
      </c>
      <c r="CE18" s="22" t="s">
        <v>1096</v>
      </c>
      <c r="CF18" s="22" t="s">
        <v>1097</v>
      </c>
      <c r="CG18" s="22" t="s">
        <v>1094</v>
      </c>
      <c r="CJ18" s="22" t="s">
        <v>14</v>
      </c>
      <c r="CK18" s="22" t="s">
        <v>1085</v>
      </c>
      <c r="CL18" s="22" t="s">
        <v>1100</v>
      </c>
      <c r="CM18" s="22" t="s">
        <v>1096</v>
      </c>
      <c r="CN18" s="22" t="s">
        <v>1097</v>
      </c>
      <c r="CO18" s="22" t="s">
        <v>1094</v>
      </c>
      <c r="CP18" s="22"/>
      <c r="CQ18" s="22" t="s">
        <v>1113</v>
      </c>
      <c r="CR18" s="22" t="str">
        <f ca="1">Normalår!I4</f>
        <v>DalsEds</v>
      </c>
      <c r="CS18" s="22" t="s">
        <v>1115</v>
      </c>
      <c r="CU18" s="16" t="s">
        <v>1075</v>
      </c>
      <c r="CV18" s="16" t="s">
        <v>1075</v>
      </c>
      <c r="CW18" s="16" t="s">
        <v>1075</v>
      </c>
      <c r="CX18" s="16" t="s">
        <v>1075</v>
      </c>
      <c r="CY18" s="16" t="s">
        <v>1075</v>
      </c>
      <c r="CZ18" s="22" t="s">
        <v>1094</v>
      </c>
      <c r="DB18" s="22"/>
      <c r="DD18" s="22" t="s">
        <v>14</v>
      </c>
      <c r="DE18" s="22" t="s">
        <v>1085</v>
      </c>
      <c r="DF18" s="22" t="s">
        <v>1100</v>
      </c>
      <c r="DG18" s="22" t="s">
        <v>1096</v>
      </c>
      <c r="DH18" s="22" t="s">
        <v>1097</v>
      </c>
      <c r="DI18" s="22" t="s">
        <v>1094</v>
      </c>
      <c r="DM18" s="22" t="s">
        <v>14</v>
      </c>
      <c r="DN18" s="22" t="s">
        <v>1085</v>
      </c>
      <c r="DO18" s="22" t="s">
        <v>1100</v>
      </c>
      <c r="DP18" s="22" t="s">
        <v>1096</v>
      </c>
      <c r="DQ18" s="22" t="s">
        <v>1097</v>
      </c>
      <c r="DR18" s="22" t="s">
        <v>1094</v>
      </c>
      <c r="EI18" s="3" t="s">
        <v>1064</v>
      </c>
      <c r="EJ18" s="3">
        <v>16</v>
      </c>
      <c r="EK18" s="3"/>
    </row>
    <row r="19" spans="1:156" ht="16.5" customHeight="1" x14ac:dyDescent="0.25">
      <c r="C19" s="355"/>
      <c r="D19" s="356"/>
      <c r="E19" s="20"/>
      <c r="F19" s="249">
        <f>G14</f>
        <v>2019</v>
      </c>
      <c r="G19" s="249" t="str">
        <f t="shared" ref="G19:G30" ca="1" si="1">OFFSET($EI$2,$EI$28+ROW(F19)-ROW($F$19),0)</f>
        <v>jan</v>
      </c>
      <c r="H19" s="3"/>
      <c r="I19" s="41">
        <f>IF($D$14&gt;0,IF($I$18=$J$18,J19,J19/$J$15),0)</f>
        <v>0</v>
      </c>
      <c r="J19" s="259"/>
      <c r="K19" s="2"/>
      <c r="L19" s="41">
        <f t="shared" ref="L19:L30" si="2">IF($D$14&gt;1,IF($L$18=$M$18,M19,M19/$M$15),0)</f>
        <v>0</v>
      </c>
      <c r="M19" s="259"/>
      <c r="N19" s="2"/>
      <c r="O19" s="41">
        <f t="shared" ref="O19:O30" si="3">IF($D$14&gt;2,IF($O$18=$P$18,P19,P19/$P$15),0)</f>
        <v>0</v>
      </c>
      <c r="P19" s="259"/>
      <c r="Q19" s="42"/>
      <c r="R19" s="42"/>
      <c r="S19" s="42"/>
      <c r="T19" s="42"/>
      <c r="U19" s="42"/>
      <c r="V19" s="42"/>
      <c r="Y19" s="164">
        <f t="shared" ref="Y19:Y30" si="4">IF($J$14=$Y$18,I19,0)+IF($M$14=$Y$18,L19,0)+IF($P$14=$Y$18,O19,0)</f>
        <v>0</v>
      </c>
      <c r="Z19" s="164">
        <f t="shared" ref="Z19:Z30" si="5">IF(OR($J$14="El-panna",$J$14="Värmepump"),I19,0)+IF(OR($M$14="El-panna",$M$14="Värmepump"),L19,0)+IF(OR($P$14="El-panna",$P$14="Värmepump"),O19,0)</f>
        <v>0</v>
      </c>
      <c r="AA19" s="164">
        <f t="shared" ref="AA19:AA30" si="6">IF(OR($J$14="Flispanna",$J$14="Pelletspanna",$J$14="Vedpanna"),I19,0)+IF(OR($M$14="Flispanna",$M$14="Pelletspanna",$M$14="Vedpanna"),L19,0)+IF(OR($P$14="Flispanna",$P$14="Pelletspanna",$P$14="Vedpanna"),O19,0)</f>
        <v>0</v>
      </c>
      <c r="AB19" s="164">
        <f t="shared" ref="AB19:AB30" si="7">IF($J$14="Gaspanna",I19,0)+IF($M$14="Gaspanna",L19,0)+IF($P$14="Gaspanna",O19,0)</f>
        <v>0</v>
      </c>
      <c r="AC19" s="164">
        <f t="shared" ref="AC19:AC30" si="8">IF($J$14="Oljepanna",I19,0)+IF($M$14="Oljepanna",L19,0)+IF($P$14="Oljepanna",O19,0)</f>
        <v>0</v>
      </c>
      <c r="AD19" s="163">
        <f t="shared" ref="AD19:AD30" si="9">Y19+Z19+AA19+AB19+AC19</f>
        <v>0</v>
      </c>
      <c r="AE19" s="236"/>
      <c r="AG19" s="164">
        <f>Y19+AG65</f>
        <v>0</v>
      </c>
      <c r="AH19" s="164">
        <f t="shared" ref="AH19:AK30" si="10">Z19+AH65</f>
        <v>0</v>
      </c>
      <c r="AI19" s="164">
        <f t="shared" si="10"/>
        <v>0</v>
      </c>
      <c r="AJ19" s="164">
        <f t="shared" si="10"/>
        <v>0</v>
      </c>
      <c r="AK19" s="164">
        <f t="shared" si="10"/>
        <v>0</v>
      </c>
      <c r="AL19" s="163">
        <f t="shared" ref="AL19:AL30" si="11">AG19+AH19+AI19+AJ19+AK19</f>
        <v>0</v>
      </c>
      <c r="AM19" s="129"/>
      <c r="AN19" s="163">
        <f>IF(Y19&gt;0,Y19*($Y$32/$Y$31),0)+IF(AG65&gt;0,AG65*($Y$57/$Y$56),0)</f>
        <v>0</v>
      </c>
      <c r="AO19" s="163">
        <f>IF(Z19&gt;0,Z19*($Z$32/$Z$31),0)+IF(AH65&gt;0,AH65*($Z$57/$Z$56),0)</f>
        <v>0</v>
      </c>
      <c r="AP19" s="163">
        <f>IF(AA19&gt;0,AA19*($AA$32/$AA$31),0)+IF(AI65&gt;0,AI65*($AA$57/$AA$56),0)</f>
        <v>0</v>
      </c>
      <c r="AQ19" s="163">
        <f>IF(AB19&gt;0,AB19*($AB$32/$AB$31),0)+IF(AJ65&gt;0,AJ65*($AB$57/$AB$56),0)</f>
        <v>0</v>
      </c>
      <c r="AR19" s="163">
        <f>IF(AC19&gt;0,AC19*($AC$32/$AC$31),0)+IF(AK65&gt;0,AK65*($AC$57/$AC$56),0)</f>
        <v>0</v>
      </c>
      <c r="AS19" s="163">
        <f>AN19+AO19+AP19+AQ19+AR19</f>
        <v>0</v>
      </c>
      <c r="AT19" s="163">
        <f>IF($AN$33&gt;0,(AN19-$AN$33*(AF130+AH130+AD130))/$AN$32,0)+IF($AO$33&gt;0,(AO19-$AO$33*(AF130+AH130+AD130))/$AO$32,0)+IF($AP$33&gt;0,(AP19-$AP$33*(AF130+AH130+AD130))/$AP$32,0)+IF($AQ$33&gt;0,(AQ19-$AQ$33*(AF130+AH130+AD130))/$AQ$32,0)+IF($AR$33&gt;0,(AR19-$AR$33*(AF130+AH130+AD130))/$AR$32,0)</f>
        <v>0</v>
      </c>
      <c r="AU19" s="132">
        <f>AT19-Z130</f>
        <v>0</v>
      </c>
      <c r="AV19" s="237" t="str">
        <f>IF(AT19&lt;0,"Fel i indata","")</f>
        <v/>
      </c>
      <c r="AW19" s="163">
        <f>IF($AO$33&gt;0,((AO19/$AO$32)-Z130),0)</f>
        <v>0</v>
      </c>
      <c r="AX19" s="237" t="str">
        <f>IF(OR(AU19&lt;0,AW19&lt;0),"Fel i indata","")</f>
        <v/>
      </c>
      <c r="AZ19" s="43">
        <f t="shared" ref="AZ19:AZ30" si="12">Y19</f>
        <v>0</v>
      </c>
      <c r="BA19" s="43">
        <f t="shared" ref="BA19:BA30" si="13">Z19</f>
        <v>0</v>
      </c>
      <c r="BB19" s="43">
        <f t="shared" ref="BB19:BB30" si="14">AA19</f>
        <v>0</v>
      </c>
      <c r="BC19" s="43">
        <f t="shared" ref="BC19:BC30" si="15">AB19</f>
        <v>0</v>
      </c>
      <c r="BD19" s="43">
        <f t="shared" ref="BD19:BD30" si="16">AC19</f>
        <v>0</v>
      </c>
      <c r="BE19" s="30">
        <f>AZ19+BA19+BB19+BC19+BD19</f>
        <v>0</v>
      </c>
      <c r="BF19" s="22"/>
      <c r="BH19" s="22" t="str">
        <f t="shared" ref="BH19:BH30" ca="1" si="17">OFFSET($EI$2,$BI$15+ROW(BH19)-ROW($BH$19),0)</f>
        <v>nov</v>
      </c>
      <c r="BI19" s="44">
        <f t="shared" ref="BI19:BI30" ca="1" si="18">MATCH(BH19,$EI$3:$EI$14,0)</f>
        <v>11</v>
      </c>
      <c r="BJ19" s="44">
        <f t="shared" ref="BJ19:BJ30" ca="1" si="19">IF(OR(BI19&gt;=$BI$15,BI19&lt;=$BI$16),1,0)</f>
        <v>1</v>
      </c>
      <c r="BK19" s="44">
        <f t="shared" ref="BK19:BK30" ca="1" si="20">IF(BJ19=1,VLOOKUP(BH19,$EI$3:$EK$14,3,FALSE),0)</f>
        <v>720</v>
      </c>
      <c r="BL19" s="45" t="str">
        <f t="shared" ref="BL19:BL30" ca="1" si="21">G19</f>
        <v>jan</v>
      </c>
      <c r="BM19" s="45">
        <f ca="1">VLOOKUP(BL19,$BH$19:$BJ$30,3,FALSE)</f>
        <v>1</v>
      </c>
      <c r="BN19" s="43">
        <f ca="1">IF($BM19=1,AZ19*$BO$12,AZ19)</f>
        <v>0</v>
      </c>
      <c r="BO19" s="43">
        <f t="shared" ref="BO19:BR30" ca="1" si="22">IF($BM19=1,BA19*$BO$12,BA19)</f>
        <v>0</v>
      </c>
      <c r="BP19" s="43">
        <f ca="1">IF($BM19=1,BB19*$BO$12,BB19)</f>
        <v>0</v>
      </c>
      <c r="BQ19" s="43">
        <f t="shared" ca="1" si="22"/>
        <v>0</v>
      </c>
      <c r="BR19" s="43">
        <f t="shared" ca="1" si="22"/>
        <v>0</v>
      </c>
      <c r="BS19" s="30">
        <f ca="1">BN19+BO19+BP19+BQ19+BR19</f>
        <v>0</v>
      </c>
      <c r="BT19" s="46">
        <f t="shared" ref="BT19:BT30" ca="1" si="23">IF(AND(BN19&gt;0,BM19=1),BN19/$BT$17,0)</f>
        <v>0</v>
      </c>
      <c r="BU19" s="46">
        <f t="shared" ref="BU19:BU30" ca="1" si="24">IF(AND(BO19&gt;0,BM19=1),BO19/$BU$17,0)</f>
        <v>0</v>
      </c>
      <c r="BV19" s="46">
        <f t="shared" ref="BV19:BV30" ca="1" si="25">IF(AND(BP19&gt;0,BM19=1),BP19/$BV$17,0)</f>
        <v>0</v>
      </c>
      <c r="BW19" s="46">
        <f t="shared" ref="BW19:BW30" ca="1" si="26">IF(AND(BQ19&gt;0,BM19=1),BQ19/$BW$17,0)</f>
        <v>0</v>
      </c>
      <c r="BX19" s="46">
        <f t="shared" ref="BX19:BX30" ca="1" si="27">IF(AND(BR19&gt;0,BM19=1),BR19/$BX$17,0)</f>
        <v>0</v>
      </c>
      <c r="BY19" s="46"/>
      <c r="BZ19" s="45" t="str">
        <f ca="1">BL19</f>
        <v>jan</v>
      </c>
      <c r="CA19" s="45">
        <f ca="1">BM19</f>
        <v>1</v>
      </c>
      <c r="CB19" s="43">
        <f t="shared" ref="CB19:CB30" ca="1" si="28">BN19+$CB$15*BT19</f>
        <v>0</v>
      </c>
      <c r="CC19" s="43">
        <f t="shared" ref="CC19:CC30" ca="1" si="29">BO19+$CC$15*BU19</f>
        <v>0</v>
      </c>
      <c r="CD19" s="43">
        <f t="shared" ref="CD19:CD30" ca="1" si="30">BP19+$CD$15*BV19</f>
        <v>0</v>
      </c>
      <c r="CE19" s="43">
        <f t="shared" ref="CE19:CE30" ca="1" si="31">BQ19+$CE$15*BW19</f>
        <v>0</v>
      </c>
      <c r="CF19" s="43">
        <f t="shared" ref="CF19:CF30" ca="1" si="32">BR19+$CF$15*BX19</f>
        <v>0</v>
      </c>
      <c r="CG19" s="30">
        <f ca="1">CB19+CC19+CD19+CE19+CF19</f>
        <v>0</v>
      </c>
      <c r="CI19" s="24"/>
      <c r="CJ19" s="30">
        <f t="shared" ref="CJ19:CJ30" ca="1" si="33">IF(CB19&gt;0,CB19+$AH$130/$CJ$14*$CB$32,0)</f>
        <v>0</v>
      </c>
      <c r="CK19" s="30">
        <f t="shared" ref="CK19:CK30" ca="1" si="34">IF(CC19&gt;0,CC19+$AH$130/$CK$14*$CC$32,0)</f>
        <v>0</v>
      </c>
      <c r="CL19" s="30">
        <f t="shared" ref="CL19:CL30" ca="1" si="35">IF(CD19&gt;0,CD19+$AH$130/$CL$14*$CD$32,0)</f>
        <v>0</v>
      </c>
      <c r="CM19" s="30">
        <f t="shared" ref="CM19:CM30" ca="1" si="36">IF(CE19&gt;0,CE19+$AH$130/$CM$14*$CE$32,0)</f>
        <v>0</v>
      </c>
      <c r="CN19" s="30">
        <f t="shared" ref="CN19:CN30" ca="1" si="37">IF(CF19&gt;0,CF19+$AH$130/$CN$14*$CF$32,0)</f>
        <v>0</v>
      </c>
      <c r="CO19" s="30">
        <f ca="1">CJ19+CK19+CL19+CM19+CN19</f>
        <v>0</v>
      </c>
      <c r="CP19" s="22"/>
      <c r="CQ19" s="32" t="str">
        <f t="shared" ref="CQ19:CQ30" ca="1" si="38">F19 &amp; TEXT(MATCH(G19,$EI$3:$EI$14,0),"00")</f>
        <v>201901</v>
      </c>
      <c r="CR19" s="32">
        <f ca="1">MATCH('Mätvärden referensår'!CQ19,Normalår!$R$5:$R$200,0)-1</f>
        <v>48</v>
      </c>
      <c r="CS19" s="47">
        <f ca="1">OFFSET(Normalår!$S$5,CR19,0)</f>
        <v>1.0083855324307942</v>
      </c>
      <c r="CU19" s="43">
        <f ca="1">CJ19*CS19</f>
        <v>0</v>
      </c>
      <c r="CV19" s="43">
        <f ca="1">CK19*CS19</f>
        <v>0</v>
      </c>
      <c r="CW19" s="43">
        <f ca="1">CL19*CS19</f>
        <v>0</v>
      </c>
      <c r="CX19" s="43">
        <f ca="1">CM19*CS19</f>
        <v>0</v>
      </c>
      <c r="CY19" s="43">
        <f ca="1">CN19*CS19</f>
        <v>0</v>
      </c>
      <c r="CZ19" s="30">
        <f ca="1">CU19+CV19+CW19+CX19+CY19</f>
        <v>0</v>
      </c>
      <c r="DD19" s="30">
        <f ca="1">CU19</f>
        <v>0</v>
      </c>
      <c r="DE19" s="30">
        <f ca="1">CV19</f>
        <v>0</v>
      </c>
      <c r="DF19" s="30">
        <f ca="1">CW19</f>
        <v>0</v>
      </c>
      <c r="DG19" s="30">
        <f ca="1">CX19</f>
        <v>0</v>
      </c>
      <c r="DH19" s="30">
        <f ca="1">CY19</f>
        <v>0</v>
      </c>
      <c r="DI19" s="30">
        <f ca="1">DD19+DE19+DF19+DG19+DH19</f>
        <v>0</v>
      </c>
      <c r="DM19" s="30">
        <f t="shared" ref="DM19:DQ30" ca="1" si="39">CU19</f>
        <v>0</v>
      </c>
      <c r="DN19" s="30">
        <f t="shared" ca="1" si="39"/>
        <v>0</v>
      </c>
      <c r="DO19" s="30">
        <f t="shared" ca="1" si="39"/>
        <v>0</v>
      </c>
      <c r="DP19" s="30">
        <f t="shared" ca="1" si="39"/>
        <v>0</v>
      </c>
      <c r="DQ19" s="30">
        <f t="shared" ca="1" si="39"/>
        <v>0</v>
      </c>
      <c r="DR19" s="30">
        <f ca="1">DM19+DN19+DO19+DP19+DQ19</f>
        <v>0</v>
      </c>
      <c r="EI19" s="3" t="s">
        <v>1065</v>
      </c>
      <c r="EJ19" s="3">
        <v>17</v>
      </c>
      <c r="EK19" s="3"/>
    </row>
    <row r="20" spans="1:156" ht="16.5" customHeight="1" x14ac:dyDescent="0.25">
      <c r="C20" s="153"/>
      <c r="D20" s="153"/>
      <c r="F20" s="249">
        <f ca="1">IF(G20="jan",F19+1,F19)</f>
        <v>2019</v>
      </c>
      <c r="G20" s="249" t="str">
        <f t="shared" ca="1" si="1"/>
        <v>feb</v>
      </c>
      <c r="H20" s="3"/>
      <c r="I20" s="41">
        <f t="shared" ref="I20:I30" si="40">IF($D$14&gt;0,IF($I$18=$J$18,J20,J20/$J$15),0)</f>
        <v>0</v>
      </c>
      <c r="J20" s="259"/>
      <c r="K20" s="2"/>
      <c r="L20" s="41">
        <f t="shared" si="2"/>
        <v>0</v>
      </c>
      <c r="M20" s="259"/>
      <c r="N20" s="2"/>
      <c r="O20" s="41">
        <f t="shared" si="3"/>
        <v>0</v>
      </c>
      <c r="P20" s="259"/>
      <c r="Q20" s="42"/>
      <c r="R20" s="42"/>
      <c r="S20" s="42"/>
      <c r="T20" s="42"/>
      <c r="U20" s="42"/>
      <c r="V20" s="42"/>
      <c r="Y20" s="164">
        <f t="shared" si="4"/>
        <v>0</v>
      </c>
      <c r="Z20" s="164">
        <f t="shared" si="5"/>
        <v>0</v>
      </c>
      <c r="AA20" s="164">
        <f t="shared" si="6"/>
        <v>0</v>
      </c>
      <c r="AB20" s="164">
        <f t="shared" si="7"/>
        <v>0</v>
      </c>
      <c r="AC20" s="164">
        <f t="shared" si="8"/>
        <v>0</v>
      </c>
      <c r="AD20" s="163">
        <f t="shared" si="9"/>
        <v>0</v>
      </c>
      <c r="AE20" s="236"/>
      <c r="AG20" s="164">
        <f t="shared" ref="AG20:AG30" si="41">Y20+AG66</f>
        <v>0</v>
      </c>
      <c r="AH20" s="164">
        <f t="shared" si="10"/>
        <v>0</v>
      </c>
      <c r="AI20" s="164">
        <f t="shared" si="10"/>
        <v>0</v>
      </c>
      <c r="AJ20" s="164">
        <f t="shared" si="10"/>
        <v>0</v>
      </c>
      <c r="AK20" s="164">
        <f t="shared" si="10"/>
        <v>0</v>
      </c>
      <c r="AL20" s="163">
        <f t="shared" si="11"/>
        <v>0</v>
      </c>
      <c r="AM20" s="129"/>
      <c r="AN20" s="163">
        <f t="shared" ref="AN20:AN30" si="42">IF(Y20&gt;0,Y20*($Y$32/$Y$31),0)+IF(AG66&gt;0,AG66*($Y$57/$Y$56),0)</f>
        <v>0</v>
      </c>
      <c r="AO20" s="163">
        <f t="shared" ref="AO20:AO30" si="43">IF(Z20&gt;0,Z20*($Z$32/$Z$31),0)+IF(AH66&gt;0,AH66*($Z$57/$Z$56),0)</f>
        <v>0</v>
      </c>
      <c r="AP20" s="163">
        <f t="shared" ref="AP20:AP30" si="44">IF(AA20&gt;0,AA20*($AA$32/$AA$31),0)+IF(AI66&gt;0,AI66*($AA$57/$AA$56),0)</f>
        <v>0</v>
      </c>
      <c r="AQ20" s="163">
        <f t="shared" ref="AQ20:AQ30" si="45">IF(AB20&gt;0,AB20*($AB$32/$AB$31),0)+IF(AJ66&gt;0,AJ66*($AB$57/$AB$56),0)</f>
        <v>0</v>
      </c>
      <c r="AR20" s="163">
        <f t="shared" ref="AR20:AR30" si="46">IF(AC20&gt;0,AC20*($AC$32/$AC$31),0)+IF(AK66&gt;0,AK66*($AC$57/$AC$56),0)</f>
        <v>0</v>
      </c>
      <c r="AS20" s="163">
        <f t="shared" ref="AS20:AS30" si="47">AN20+AO20+AP20+AQ20+AR20</f>
        <v>0</v>
      </c>
      <c r="AT20" s="163">
        <f t="shared" ref="AT20:AT30" si="48">IF($AN$33&gt;0,(AN20-$AN$33*(AF131+AH131+AD131))/$AN$32,0)+IF($AO$33&gt;0,(AO20-$AO$33*(AF131+AH131+AD131))/$AO$32,0)+IF($AP$33&gt;0,(AP20-$AP$33*(AF131+AH131+AD131))/$AP$32,0)+IF($AQ$33&gt;0,(AQ20-$AQ$33*(AF131+AH131+AD131))/$AQ$32,0)+IF($AR$33&gt;0,(AR20-$AR$33*(AF131+AH131+AD131))/$AR$32,0)</f>
        <v>0</v>
      </c>
      <c r="AU20" s="132">
        <f t="shared" ref="AU20:AU30" si="49">AT20-Z131</f>
        <v>0</v>
      </c>
      <c r="AV20" s="237" t="str">
        <f t="shared" ref="AV20:AV29" si="50">IF(AT20&lt;0,"Fel i indata","")</f>
        <v/>
      </c>
      <c r="AW20" s="163">
        <f t="shared" ref="AW20:AW30" si="51">IF($AO$33&gt;0,((AO20/$AO$32)-Z131),0)</f>
        <v>0</v>
      </c>
      <c r="AX20" s="237" t="str">
        <f t="shared" ref="AX20:AX30" si="52">IF(OR(AU20&lt;0,AW20&lt;0),"Fel i indata","")</f>
        <v/>
      </c>
      <c r="AY20" s="22"/>
      <c r="AZ20" s="43">
        <f t="shared" si="12"/>
        <v>0</v>
      </c>
      <c r="BA20" s="43">
        <f t="shared" si="13"/>
        <v>0</v>
      </c>
      <c r="BB20" s="43">
        <f t="shared" si="14"/>
        <v>0</v>
      </c>
      <c r="BC20" s="43">
        <f t="shared" si="15"/>
        <v>0</v>
      </c>
      <c r="BD20" s="43">
        <f t="shared" si="16"/>
        <v>0</v>
      </c>
      <c r="BE20" s="30">
        <f t="shared" ref="BE20:BE30" si="53">AZ20+BA20+BB20+BC20+BD20</f>
        <v>0</v>
      </c>
      <c r="BF20" s="22"/>
      <c r="BH20" s="22" t="str">
        <f t="shared" ca="1" si="17"/>
        <v>dec</v>
      </c>
      <c r="BI20" s="44">
        <f t="shared" ca="1" si="18"/>
        <v>12</v>
      </c>
      <c r="BJ20" s="44">
        <f t="shared" ca="1" si="19"/>
        <v>1</v>
      </c>
      <c r="BK20" s="44">
        <f t="shared" ca="1" si="20"/>
        <v>744</v>
      </c>
      <c r="BL20" s="45" t="str">
        <f t="shared" ca="1" si="21"/>
        <v>feb</v>
      </c>
      <c r="BM20" s="45">
        <f t="shared" ref="BM20:BM30" ca="1" si="54">VLOOKUP(BL20,$BH$19:$BJ$30,3,FALSE)</f>
        <v>1</v>
      </c>
      <c r="BN20" s="43">
        <f t="shared" ref="BN20:BN30" ca="1" si="55">IF($BM20=1,AZ20*$BO$12,AZ20)</f>
        <v>0</v>
      </c>
      <c r="BO20" s="43">
        <f t="shared" ca="1" si="22"/>
        <v>0</v>
      </c>
      <c r="BP20" s="43">
        <f t="shared" ca="1" si="22"/>
        <v>0</v>
      </c>
      <c r="BQ20" s="43">
        <f t="shared" ca="1" si="22"/>
        <v>0</v>
      </c>
      <c r="BR20" s="43">
        <f t="shared" ca="1" si="22"/>
        <v>0</v>
      </c>
      <c r="BS20" s="30">
        <f t="shared" ref="BS20:BS30" ca="1" si="56">BN20+BO20+BP20+BQ20+BR20</f>
        <v>0</v>
      </c>
      <c r="BT20" s="46">
        <f t="shared" ca="1" si="23"/>
        <v>0</v>
      </c>
      <c r="BU20" s="46">
        <f t="shared" ca="1" si="24"/>
        <v>0</v>
      </c>
      <c r="BV20" s="46">
        <f t="shared" ca="1" si="25"/>
        <v>0</v>
      </c>
      <c r="BW20" s="46">
        <f t="shared" ca="1" si="26"/>
        <v>0</v>
      </c>
      <c r="BX20" s="46">
        <f t="shared" ca="1" si="27"/>
        <v>0</v>
      </c>
      <c r="BY20" s="46"/>
      <c r="BZ20" s="45" t="str">
        <f t="shared" ref="BZ20:CA30" ca="1" si="57">BL20</f>
        <v>feb</v>
      </c>
      <c r="CA20" s="45">
        <f t="shared" ca="1" si="57"/>
        <v>1</v>
      </c>
      <c r="CB20" s="43">
        <f t="shared" ca="1" si="28"/>
        <v>0</v>
      </c>
      <c r="CC20" s="43">
        <f t="shared" ca="1" si="29"/>
        <v>0</v>
      </c>
      <c r="CD20" s="43">
        <f t="shared" ca="1" si="30"/>
        <v>0</v>
      </c>
      <c r="CE20" s="43">
        <f t="shared" ca="1" si="31"/>
        <v>0</v>
      </c>
      <c r="CF20" s="43">
        <f t="shared" ca="1" si="32"/>
        <v>0</v>
      </c>
      <c r="CG20" s="30">
        <f t="shared" ref="CG20:CG30" ca="1" si="58">CB20+CC20+CD20+CE20+CF20</f>
        <v>0</v>
      </c>
      <c r="CI20" s="24"/>
      <c r="CJ20" s="30">
        <f t="shared" ca="1" si="33"/>
        <v>0</v>
      </c>
      <c r="CK20" s="30">
        <f t="shared" ca="1" si="34"/>
        <v>0</v>
      </c>
      <c r="CL20" s="30">
        <f t="shared" ca="1" si="35"/>
        <v>0</v>
      </c>
      <c r="CM20" s="30">
        <f t="shared" ca="1" si="36"/>
        <v>0</v>
      </c>
      <c r="CN20" s="30">
        <f t="shared" ca="1" si="37"/>
        <v>0</v>
      </c>
      <c r="CO20" s="30">
        <f t="shared" ref="CO20:CO30" ca="1" si="59">CJ20+CK20+CL20+CM20+CN20</f>
        <v>0</v>
      </c>
      <c r="CP20" s="22"/>
      <c r="CQ20" s="32" t="str">
        <f t="shared" ca="1" si="38"/>
        <v>201902</v>
      </c>
      <c r="CR20" s="32">
        <f ca="1">MATCH('Mätvärden referensår'!CQ20,Normalår!$R$5:$R$200,0)-1</f>
        <v>49</v>
      </c>
      <c r="CS20" s="47">
        <f ca="1">OFFSET(Normalår!$S$5,CR20,0)</f>
        <v>1.2305604033352724</v>
      </c>
      <c r="CU20" s="43">
        <f t="shared" ref="CU20:CU30" ca="1" si="60">CJ20*CS20</f>
        <v>0</v>
      </c>
      <c r="CV20" s="43">
        <f t="shared" ref="CV20:CV30" ca="1" si="61">CK20*CS20</f>
        <v>0</v>
      </c>
      <c r="CW20" s="43">
        <f t="shared" ref="CW20:CW30" ca="1" si="62">CL20*CS20</f>
        <v>0</v>
      </c>
      <c r="CX20" s="43">
        <f t="shared" ref="CX20:CX30" ca="1" si="63">CM20*CS20</f>
        <v>0</v>
      </c>
      <c r="CY20" s="43">
        <f t="shared" ref="CY20:CY28" ca="1" si="64">CN20*CS20</f>
        <v>0</v>
      </c>
      <c r="CZ20" s="30">
        <f t="shared" ref="CZ20:CZ30" ca="1" si="65">CU20+CV20+CW20+CX20+CY20</f>
        <v>0</v>
      </c>
      <c r="DD20" s="30">
        <f t="shared" ref="DD20:DH30" ca="1" si="66">CU20</f>
        <v>0</v>
      </c>
      <c r="DE20" s="30">
        <f t="shared" ca="1" si="66"/>
        <v>0</v>
      </c>
      <c r="DF20" s="30">
        <f t="shared" ca="1" si="66"/>
        <v>0</v>
      </c>
      <c r="DG20" s="30">
        <f t="shared" ca="1" si="66"/>
        <v>0</v>
      </c>
      <c r="DH20" s="30">
        <f t="shared" ca="1" si="66"/>
        <v>0</v>
      </c>
      <c r="DI20" s="30">
        <f t="shared" ref="DI20:DI30" ca="1" si="67">DD20+DE20+DF20+DG20+DH20</f>
        <v>0</v>
      </c>
      <c r="DM20" s="30">
        <f t="shared" ca="1" si="39"/>
        <v>0</v>
      </c>
      <c r="DN20" s="30">
        <f t="shared" ca="1" si="39"/>
        <v>0</v>
      </c>
      <c r="DO20" s="30">
        <f t="shared" ca="1" si="39"/>
        <v>0</v>
      </c>
      <c r="DP20" s="30">
        <f t="shared" ca="1" si="39"/>
        <v>0</v>
      </c>
      <c r="DQ20" s="30">
        <f t="shared" ca="1" si="39"/>
        <v>0</v>
      </c>
      <c r="DR20" s="30">
        <f t="shared" ref="DR20:DR30" ca="1" si="68">DM20+DN20+DO20+DP20+DQ20</f>
        <v>0</v>
      </c>
      <c r="EI20" s="3" t="s">
        <v>1066</v>
      </c>
      <c r="EJ20" s="3">
        <v>18</v>
      </c>
      <c r="EK20" s="3"/>
    </row>
    <row r="21" spans="1:156" s="36" customFormat="1" ht="16.5" customHeight="1" x14ac:dyDescent="0.25">
      <c r="A21"/>
      <c r="B21"/>
      <c r="C21" s="153"/>
      <c r="D21" s="153"/>
      <c r="E21"/>
      <c r="F21" s="249">
        <f t="shared" ref="F21:F30" ca="1" si="69">IF(G21="jan",F20+1,F20)</f>
        <v>2019</v>
      </c>
      <c r="G21" s="249" t="str">
        <f t="shared" ca="1" si="1"/>
        <v>mars</v>
      </c>
      <c r="H21" s="3"/>
      <c r="I21" s="41">
        <f t="shared" si="40"/>
        <v>0</v>
      </c>
      <c r="J21" s="259"/>
      <c r="K21" s="2"/>
      <c r="L21" s="41">
        <f t="shared" si="2"/>
        <v>0</v>
      </c>
      <c r="M21" s="259"/>
      <c r="N21" s="2"/>
      <c r="O21" s="41">
        <f t="shared" si="3"/>
        <v>0</v>
      </c>
      <c r="P21" s="259"/>
      <c r="Q21" s="42"/>
      <c r="R21" s="42"/>
      <c r="S21" s="42"/>
      <c r="T21" s="42"/>
      <c r="U21" s="42"/>
      <c r="V21" s="42"/>
      <c r="W21"/>
      <c r="X21" s="85"/>
      <c r="Y21" s="164">
        <f t="shared" si="4"/>
        <v>0</v>
      </c>
      <c r="Z21" s="164">
        <f t="shared" si="5"/>
        <v>0</v>
      </c>
      <c r="AA21" s="164">
        <f t="shared" si="6"/>
        <v>0</v>
      </c>
      <c r="AB21" s="164">
        <f t="shared" si="7"/>
        <v>0</v>
      </c>
      <c r="AC21" s="164">
        <f t="shared" si="8"/>
        <v>0</v>
      </c>
      <c r="AD21" s="163">
        <f t="shared" si="9"/>
        <v>0</v>
      </c>
      <c r="AE21" s="236"/>
      <c r="AF21" s="85"/>
      <c r="AG21" s="164">
        <f t="shared" si="41"/>
        <v>0</v>
      </c>
      <c r="AH21" s="164">
        <f t="shared" si="10"/>
        <v>0</v>
      </c>
      <c r="AI21" s="164">
        <f t="shared" si="10"/>
        <v>0</v>
      </c>
      <c r="AJ21" s="164">
        <f t="shared" si="10"/>
        <v>0</v>
      </c>
      <c r="AK21" s="164">
        <f t="shared" si="10"/>
        <v>0</v>
      </c>
      <c r="AL21" s="163">
        <f t="shared" si="11"/>
        <v>0</v>
      </c>
      <c r="AM21" s="129"/>
      <c r="AN21" s="163">
        <f t="shared" si="42"/>
        <v>0</v>
      </c>
      <c r="AO21" s="163">
        <f t="shared" si="43"/>
        <v>0</v>
      </c>
      <c r="AP21" s="163">
        <f t="shared" si="44"/>
        <v>0</v>
      </c>
      <c r="AQ21" s="163">
        <f t="shared" si="45"/>
        <v>0</v>
      </c>
      <c r="AR21" s="163">
        <f t="shared" si="46"/>
        <v>0</v>
      </c>
      <c r="AS21" s="163">
        <f t="shared" si="47"/>
        <v>0</v>
      </c>
      <c r="AT21" s="163">
        <f t="shared" si="48"/>
        <v>0</v>
      </c>
      <c r="AU21" s="132">
        <f t="shared" si="49"/>
        <v>0</v>
      </c>
      <c r="AV21" s="237" t="str">
        <f t="shared" si="50"/>
        <v/>
      </c>
      <c r="AW21" s="163">
        <f t="shared" si="51"/>
        <v>0</v>
      </c>
      <c r="AX21" s="237" t="str">
        <f t="shared" si="52"/>
        <v/>
      </c>
      <c r="AY21" s="22"/>
      <c r="AZ21" s="43">
        <f t="shared" si="12"/>
        <v>0</v>
      </c>
      <c r="BA21" s="43">
        <f t="shared" si="13"/>
        <v>0</v>
      </c>
      <c r="BB21" s="43">
        <f t="shared" si="14"/>
        <v>0</v>
      </c>
      <c r="BC21" s="43">
        <f t="shared" si="15"/>
        <v>0</v>
      </c>
      <c r="BD21" s="43">
        <f t="shared" si="16"/>
        <v>0</v>
      </c>
      <c r="BE21" s="30">
        <f t="shared" si="53"/>
        <v>0</v>
      </c>
      <c r="BF21" s="22"/>
      <c r="BG21" s="16"/>
      <c r="BH21" s="22" t="str">
        <f t="shared" ca="1" si="17"/>
        <v>jan</v>
      </c>
      <c r="BI21" s="44">
        <f t="shared" ca="1" si="18"/>
        <v>1</v>
      </c>
      <c r="BJ21" s="44">
        <f t="shared" ca="1" si="19"/>
        <v>1</v>
      </c>
      <c r="BK21" s="44">
        <f t="shared" ca="1" si="20"/>
        <v>744</v>
      </c>
      <c r="BL21" s="45" t="str">
        <f t="shared" ca="1" si="21"/>
        <v>mars</v>
      </c>
      <c r="BM21" s="45">
        <f t="shared" ca="1" si="54"/>
        <v>0</v>
      </c>
      <c r="BN21" s="43">
        <f t="shared" ca="1" si="55"/>
        <v>0</v>
      </c>
      <c r="BO21" s="43">
        <f t="shared" ca="1" si="22"/>
        <v>0</v>
      </c>
      <c r="BP21" s="43">
        <f t="shared" ca="1" si="22"/>
        <v>0</v>
      </c>
      <c r="BQ21" s="43">
        <f t="shared" ca="1" si="22"/>
        <v>0</v>
      </c>
      <c r="BR21" s="43">
        <f t="shared" ca="1" si="22"/>
        <v>0</v>
      </c>
      <c r="BS21" s="30">
        <f t="shared" ca="1" si="56"/>
        <v>0</v>
      </c>
      <c r="BT21" s="46">
        <f t="shared" ca="1" si="23"/>
        <v>0</v>
      </c>
      <c r="BU21" s="46">
        <f t="shared" ca="1" si="24"/>
        <v>0</v>
      </c>
      <c r="BV21" s="46">
        <f t="shared" ca="1" si="25"/>
        <v>0</v>
      </c>
      <c r="BW21" s="46">
        <f t="shared" ca="1" si="26"/>
        <v>0</v>
      </c>
      <c r="BX21" s="46">
        <f t="shared" ca="1" si="27"/>
        <v>0</v>
      </c>
      <c r="BY21" s="46"/>
      <c r="BZ21" s="45" t="str">
        <f t="shared" ca="1" si="57"/>
        <v>mars</v>
      </c>
      <c r="CA21" s="45">
        <f t="shared" ca="1" si="57"/>
        <v>0</v>
      </c>
      <c r="CB21" s="43">
        <f t="shared" ca="1" si="28"/>
        <v>0</v>
      </c>
      <c r="CC21" s="43">
        <f t="shared" ca="1" si="29"/>
        <v>0</v>
      </c>
      <c r="CD21" s="43">
        <f t="shared" ca="1" si="30"/>
        <v>0</v>
      </c>
      <c r="CE21" s="43">
        <f t="shared" ca="1" si="31"/>
        <v>0</v>
      </c>
      <c r="CF21" s="43">
        <f t="shared" ca="1" si="32"/>
        <v>0</v>
      </c>
      <c r="CG21" s="30">
        <f t="shared" ca="1" si="58"/>
        <v>0</v>
      </c>
      <c r="CH21" s="16"/>
      <c r="CI21" s="24"/>
      <c r="CJ21" s="30">
        <f t="shared" ca="1" si="33"/>
        <v>0</v>
      </c>
      <c r="CK21" s="30">
        <f t="shared" ca="1" si="34"/>
        <v>0</v>
      </c>
      <c r="CL21" s="30">
        <f t="shared" ca="1" si="35"/>
        <v>0</v>
      </c>
      <c r="CM21" s="30">
        <f t="shared" ca="1" si="36"/>
        <v>0</v>
      </c>
      <c r="CN21" s="30">
        <f t="shared" ca="1" si="37"/>
        <v>0</v>
      </c>
      <c r="CO21" s="30">
        <f t="shared" ca="1" si="59"/>
        <v>0</v>
      </c>
      <c r="CP21" s="22"/>
      <c r="CQ21" s="32" t="str">
        <f t="shared" ca="1" si="38"/>
        <v>201903</v>
      </c>
      <c r="CR21" s="32">
        <f ca="1">MATCH('Mätvärden referensår'!CQ21,Normalår!$R$5:$R$200,0)-1</f>
        <v>50</v>
      </c>
      <c r="CS21" s="47">
        <f ca="1">OFFSET(Normalår!$S$5,CR21,0)</f>
        <v>1.1332694151486096</v>
      </c>
      <c r="CT21" s="16"/>
      <c r="CU21" s="43">
        <f t="shared" ca="1" si="60"/>
        <v>0</v>
      </c>
      <c r="CV21" s="43">
        <f t="shared" ca="1" si="61"/>
        <v>0</v>
      </c>
      <c r="CW21" s="43">
        <f t="shared" ca="1" si="62"/>
        <v>0</v>
      </c>
      <c r="CX21" s="43">
        <f t="shared" ca="1" si="63"/>
        <v>0</v>
      </c>
      <c r="CY21" s="43">
        <f t="shared" ca="1" si="64"/>
        <v>0</v>
      </c>
      <c r="CZ21" s="30">
        <f t="shared" ca="1" si="65"/>
        <v>0</v>
      </c>
      <c r="DA21" s="16"/>
      <c r="DB21" s="16"/>
      <c r="DC21" s="16"/>
      <c r="DD21" s="30">
        <f t="shared" ca="1" si="66"/>
        <v>0</v>
      </c>
      <c r="DE21" s="30">
        <f t="shared" ca="1" si="66"/>
        <v>0</v>
      </c>
      <c r="DF21" s="30">
        <f t="shared" ca="1" si="66"/>
        <v>0</v>
      </c>
      <c r="DG21" s="30">
        <f t="shared" ca="1" si="66"/>
        <v>0</v>
      </c>
      <c r="DH21" s="30">
        <f t="shared" ca="1" si="66"/>
        <v>0</v>
      </c>
      <c r="DI21" s="30">
        <f t="shared" ca="1" si="67"/>
        <v>0</v>
      </c>
      <c r="DJ21" s="16"/>
      <c r="DK21" s="16"/>
      <c r="DL21" s="16"/>
      <c r="DM21" s="30">
        <f t="shared" ca="1" si="39"/>
        <v>0</v>
      </c>
      <c r="DN21" s="30">
        <f t="shared" ca="1" si="39"/>
        <v>0</v>
      </c>
      <c r="DO21" s="30">
        <f t="shared" ca="1" si="39"/>
        <v>0</v>
      </c>
      <c r="DP21" s="30">
        <f t="shared" ca="1" si="39"/>
        <v>0</v>
      </c>
      <c r="DQ21" s="30">
        <f t="shared" ca="1" si="39"/>
        <v>0</v>
      </c>
      <c r="DR21" s="30">
        <f t="shared" ca="1" si="68"/>
        <v>0</v>
      </c>
      <c r="DS21" s="16"/>
      <c r="DT21" s="16"/>
      <c r="DU21"/>
      <c r="DV21"/>
      <c r="DW21"/>
      <c r="DX21"/>
      <c r="DY21"/>
      <c r="DZ21"/>
      <c r="EA21"/>
      <c r="EB21"/>
      <c r="EC21"/>
      <c r="ED21"/>
      <c r="EE21"/>
      <c r="EF21"/>
      <c r="EG21"/>
      <c r="EH21"/>
      <c r="EI21" s="3" t="s">
        <v>1067</v>
      </c>
      <c r="EJ21" s="3">
        <v>19</v>
      </c>
      <c r="EK21" s="3"/>
      <c r="EL21"/>
      <c r="EM21"/>
      <c r="EN21"/>
      <c r="EO21"/>
      <c r="EP21"/>
      <c r="EQ21"/>
      <c r="ER21"/>
      <c r="ES21"/>
      <c r="ET21"/>
      <c r="EU21"/>
      <c r="EV21"/>
      <c r="EW21"/>
      <c r="EX21"/>
      <c r="EY21"/>
      <c r="EZ21"/>
    </row>
    <row r="22" spans="1:156" ht="16.5" customHeight="1" x14ac:dyDescent="0.25">
      <c r="F22" s="249">
        <f t="shared" ca="1" si="69"/>
        <v>2019</v>
      </c>
      <c r="G22" s="249" t="str">
        <f t="shared" ca="1" si="1"/>
        <v>apr</v>
      </c>
      <c r="H22" s="3"/>
      <c r="I22" s="41">
        <f t="shared" si="40"/>
        <v>0</v>
      </c>
      <c r="J22" s="259"/>
      <c r="K22" s="2"/>
      <c r="L22" s="41">
        <f t="shared" si="2"/>
        <v>0</v>
      </c>
      <c r="M22" s="259"/>
      <c r="N22" s="2"/>
      <c r="O22" s="41">
        <f t="shared" si="3"/>
        <v>0</v>
      </c>
      <c r="P22" s="259"/>
      <c r="Q22" s="42"/>
      <c r="R22" s="42"/>
      <c r="S22" s="42"/>
      <c r="T22" s="42"/>
      <c r="U22" s="42"/>
      <c r="V22" s="42"/>
      <c r="Y22" s="164">
        <f t="shared" si="4"/>
        <v>0</v>
      </c>
      <c r="Z22" s="164">
        <f t="shared" si="5"/>
        <v>0</v>
      </c>
      <c r="AA22" s="164">
        <f t="shared" si="6"/>
        <v>0</v>
      </c>
      <c r="AB22" s="164">
        <f t="shared" si="7"/>
        <v>0</v>
      </c>
      <c r="AC22" s="164">
        <f t="shared" si="8"/>
        <v>0</v>
      </c>
      <c r="AD22" s="163">
        <f t="shared" si="9"/>
        <v>0</v>
      </c>
      <c r="AE22" s="236"/>
      <c r="AG22" s="164">
        <f t="shared" si="41"/>
        <v>0</v>
      </c>
      <c r="AH22" s="164">
        <f t="shared" si="10"/>
        <v>0</v>
      </c>
      <c r="AI22" s="164">
        <f t="shared" si="10"/>
        <v>0</v>
      </c>
      <c r="AJ22" s="164">
        <f t="shared" si="10"/>
        <v>0</v>
      </c>
      <c r="AK22" s="164">
        <f t="shared" si="10"/>
        <v>0</v>
      </c>
      <c r="AL22" s="163">
        <f t="shared" si="11"/>
        <v>0</v>
      </c>
      <c r="AM22" s="129"/>
      <c r="AN22" s="163">
        <f t="shared" si="42"/>
        <v>0</v>
      </c>
      <c r="AO22" s="163">
        <f t="shared" si="43"/>
        <v>0</v>
      </c>
      <c r="AP22" s="163">
        <f t="shared" si="44"/>
        <v>0</v>
      </c>
      <c r="AQ22" s="163">
        <f t="shared" si="45"/>
        <v>0</v>
      </c>
      <c r="AR22" s="163">
        <f t="shared" si="46"/>
        <v>0</v>
      </c>
      <c r="AS22" s="163">
        <f t="shared" si="47"/>
        <v>0</v>
      </c>
      <c r="AT22" s="163">
        <f t="shared" si="48"/>
        <v>0</v>
      </c>
      <c r="AU22" s="132">
        <f t="shared" si="49"/>
        <v>0</v>
      </c>
      <c r="AV22" s="237" t="str">
        <f t="shared" si="50"/>
        <v/>
      </c>
      <c r="AW22" s="163">
        <f t="shared" si="51"/>
        <v>0</v>
      </c>
      <c r="AX22" s="237" t="str">
        <f t="shared" si="52"/>
        <v/>
      </c>
      <c r="AY22" s="22"/>
      <c r="AZ22" s="43">
        <f t="shared" si="12"/>
        <v>0</v>
      </c>
      <c r="BA22" s="43">
        <f t="shared" si="13"/>
        <v>0</v>
      </c>
      <c r="BB22" s="43">
        <f t="shared" si="14"/>
        <v>0</v>
      </c>
      <c r="BC22" s="43">
        <f t="shared" si="15"/>
        <v>0</v>
      </c>
      <c r="BD22" s="43">
        <f t="shared" si="16"/>
        <v>0</v>
      </c>
      <c r="BE22" s="30">
        <f t="shared" si="53"/>
        <v>0</v>
      </c>
      <c r="BF22" s="22"/>
      <c r="BH22" s="22" t="str">
        <f t="shared" ca="1" si="17"/>
        <v>feb</v>
      </c>
      <c r="BI22" s="44">
        <f t="shared" ca="1" si="18"/>
        <v>2</v>
      </c>
      <c r="BJ22" s="44">
        <f t="shared" ca="1" si="19"/>
        <v>1</v>
      </c>
      <c r="BK22" s="44">
        <f t="shared" ca="1" si="20"/>
        <v>672</v>
      </c>
      <c r="BL22" s="45" t="str">
        <f t="shared" ca="1" si="21"/>
        <v>apr</v>
      </c>
      <c r="BM22" s="45">
        <f t="shared" ca="1" si="54"/>
        <v>0</v>
      </c>
      <c r="BN22" s="43">
        <f t="shared" ca="1" si="55"/>
        <v>0</v>
      </c>
      <c r="BO22" s="43">
        <f t="shared" ca="1" si="22"/>
        <v>0</v>
      </c>
      <c r="BP22" s="43">
        <f t="shared" ca="1" si="22"/>
        <v>0</v>
      </c>
      <c r="BQ22" s="43">
        <f t="shared" ca="1" si="22"/>
        <v>0</v>
      </c>
      <c r="BR22" s="43">
        <f t="shared" ca="1" si="22"/>
        <v>0</v>
      </c>
      <c r="BS22" s="30">
        <f t="shared" ca="1" si="56"/>
        <v>0</v>
      </c>
      <c r="BT22" s="46">
        <f t="shared" ca="1" si="23"/>
        <v>0</v>
      </c>
      <c r="BU22" s="46">
        <f t="shared" ca="1" si="24"/>
        <v>0</v>
      </c>
      <c r="BV22" s="46">
        <f t="shared" ca="1" si="25"/>
        <v>0</v>
      </c>
      <c r="BW22" s="46">
        <f t="shared" ca="1" si="26"/>
        <v>0</v>
      </c>
      <c r="BX22" s="46">
        <f t="shared" ca="1" si="27"/>
        <v>0</v>
      </c>
      <c r="BY22" s="46"/>
      <c r="BZ22" s="45" t="str">
        <f t="shared" ca="1" si="57"/>
        <v>apr</v>
      </c>
      <c r="CA22" s="45">
        <f t="shared" ca="1" si="57"/>
        <v>0</v>
      </c>
      <c r="CB22" s="43">
        <f t="shared" ca="1" si="28"/>
        <v>0</v>
      </c>
      <c r="CC22" s="43">
        <f t="shared" ca="1" si="29"/>
        <v>0</v>
      </c>
      <c r="CD22" s="43">
        <f t="shared" ca="1" si="30"/>
        <v>0</v>
      </c>
      <c r="CE22" s="43">
        <f t="shared" ca="1" si="31"/>
        <v>0</v>
      </c>
      <c r="CF22" s="43">
        <f t="shared" ca="1" si="32"/>
        <v>0</v>
      </c>
      <c r="CG22" s="30">
        <f t="shared" ca="1" si="58"/>
        <v>0</v>
      </c>
      <c r="CI22" s="24"/>
      <c r="CJ22" s="30">
        <f t="shared" ca="1" si="33"/>
        <v>0</v>
      </c>
      <c r="CK22" s="30">
        <f t="shared" ca="1" si="34"/>
        <v>0</v>
      </c>
      <c r="CL22" s="30">
        <f t="shared" ca="1" si="35"/>
        <v>0</v>
      </c>
      <c r="CM22" s="30">
        <f t="shared" ca="1" si="36"/>
        <v>0</v>
      </c>
      <c r="CN22" s="30">
        <f t="shared" ca="1" si="37"/>
        <v>0</v>
      </c>
      <c r="CO22" s="30">
        <f t="shared" ca="1" si="59"/>
        <v>0</v>
      </c>
      <c r="CP22" s="22"/>
      <c r="CQ22" s="32" t="str">
        <f t="shared" ca="1" si="38"/>
        <v>201904</v>
      </c>
      <c r="CR22" s="32">
        <f ca="1">MATCH('Mätvärden referensår'!CQ22,Normalår!$R$5:$R$200,0)-1</f>
        <v>51</v>
      </c>
      <c r="CS22" s="47">
        <f ca="1">OFFSET(Normalår!$S$5,CR22,0)</f>
        <v>1.216994382022472</v>
      </c>
      <c r="CU22" s="43">
        <f t="shared" ca="1" si="60"/>
        <v>0</v>
      </c>
      <c r="CV22" s="43">
        <f t="shared" ca="1" si="61"/>
        <v>0</v>
      </c>
      <c r="CW22" s="43">
        <f t="shared" ca="1" si="62"/>
        <v>0</v>
      </c>
      <c r="CX22" s="43">
        <f t="shared" ca="1" si="63"/>
        <v>0</v>
      </c>
      <c r="CY22" s="43">
        <f t="shared" ca="1" si="64"/>
        <v>0</v>
      </c>
      <c r="CZ22" s="30">
        <f t="shared" ca="1" si="65"/>
        <v>0</v>
      </c>
      <c r="DB22" s="48"/>
      <c r="DD22" s="30">
        <f t="shared" ca="1" si="66"/>
        <v>0</v>
      </c>
      <c r="DE22" s="30">
        <f t="shared" ca="1" si="66"/>
        <v>0</v>
      </c>
      <c r="DF22" s="30">
        <f t="shared" ca="1" si="66"/>
        <v>0</v>
      </c>
      <c r="DG22" s="30">
        <f t="shared" ca="1" si="66"/>
        <v>0</v>
      </c>
      <c r="DH22" s="30">
        <f t="shared" ca="1" si="66"/>
        <v>0</v>
      </c>
      <c r="DI22" s="30">
        <f t="shared" ca="1" si="67"/>
        <v>0</v>
      </c>
      <c r="DM22" s="30">
        <f t="shared" ca="1" si="39"/>
        <v>0</v>
      </c>
      <c r="DN22" s="30">
        <f t="shared" ca="1" si="39"/>
        <v>0</v>
      </c>
      <c r="DO22" s="30">
        <f t="shared" ca="1" si="39"/>
        <v>0</v>
      </c>
      <c r="DP22" s="30">
        <f t="shared" ca="1" si="39"/>
        <v>0</v>
      </c>
      <c r="DQ22" s="30">
        <f t="shared" ca="1" si="39"/>
        <v>0</v>
      </c>
      <c r="DR22" s="30">
        <f t="shared" ca="1" si="68"/>
        <v>0</v>
      </c>
      <c r="EI22" s="3" t="s">
        <v>1068</v>
      </c>
      <c r="EJ22" s="3">
        <v>20</v>
      </c>
      <c r="EK22" s="3"/>
    </row>
    <row r="23" spans="1:156" ht="16.5" customHeight="1" x14ac:dyDescent="0.25">
      <c r="F23" s="249">
        <f t="shared" ca="1" si="69"/>
        <v>2019</v>
      </c>
      <c r="G23" s="249" t="str">
        <f t="shared" ca="1" si="1"/>
        <v>maj</v>
      </c>
      <c r="H23" s="3"/>
      <c r="I23" s="41">
        <f t="shared" si="40"/>
        <v>0</v>
      </c>
      <c r="J23" s="259"/>
      <c r="K23" s="2"/>
      <c r="L23" s="41">
        <f t="shared" si="2"/>
        <v>0</v>
      </c>
      <c r="M23" s="259"/>
      <c r="N23" s="2"/>
      <c r="O23" s="41">
        <f t="shared" si="3"/>
        <v>0</v>
      </c>
      <c r="P23" s="259"/>
      <c r="Q23" s="42"/>
      <c r="R23" s="42"/>
      <c r="S23" s="42"/>
      <c r="T23" s="42"/>
      <c r="U23" s="42"/>
      <c r="V23" s="42"/>
      <c r="Y23" s="164">
        <f t="shared" si="4"/>
        <v>0</v>
      </c>
      <c r="Z23" s="164">
        <f t="shared" si="5"/>
        <v>0</v>
      </c>
      <c r="AA23" s="164">
        <f t="shared" si="6"/>
        <v>0</v>
      </c>
      <c r="AB23" s="164">
        <f t="shared" si="7"/>
        <v>0</v>
      </c>
      <c r="AC23" s="164">
        <f t="shared" si="8"/>
        <v>0</v>
      </c>
      <c r="AD23" s="163">
        <f t="shared" si="9"/>
        <v>0</v>
      </c>
      <c r="AE23" s="236"/>
      <c r="AG23" s="164">
        <f t="shared" si="41"/>
        <v>0</v>
      </c>
      <c r="AH23" s="164">
        <f t="shared" si="10"/>
        <v>0</v>
      </c>
      <c r="AI23" s="164">
        <f t="shared" si="10"/>
        <v>0</v>
      </c>
      <c r="AJ23" s="164">
        <f t="shared" si="10"/>
        <v>0</v>
      </c>
      <c r="AK23" s="164">
        <f t="shared" si="10"/>
        <v>0</v>
      </c>
      <c r="AL23" s="163">
        <f t="shared" si="11"/>
        <v>0</v>
      </c>
      <c r="AM23" s="129"/>
      <c r="AN23" s="163">
        <f t="shared" si="42"/>
        <v>0</v>
      </c>
      <c r="AO23" s="163">
        <f t="shared" si="43"/>
        <v>0</v>
      </c>
      <c r="AP23" s="163">
        <f t="shared" si="44"/>
        <v>0</v>
      </c>
      <c r="AQ23" s="163">
        <f t="shared" si="45"/>
        <v>0</v>
      </c>
      <c r="AR23" s="163">
        <f t="shared" si="46"/>
        <v>0</v>
      </c>
      <c r="AS23" s="163">
        <f t="shared" si="47"/>
        <v>0</v>
      </c>
      <c r="AT23" s="163">
        <f t="shared" si="48"/>
        <v>0</v>
      </c>
      <c r="AU23" s="132">
        <f t="shared" si="49"/>
        <v>0</v>
      </c>
      <c r="AV23" s="237" t="str">
        <f t="shared" si="50"/>
        <v/>
      </c>
      <c r="AW23" s="163">
        <f t="shared" si="51"/>
        <v>0</v>
      </c>
      <c r="AX23" s="237" t="str">
        <f t="shared" si="52"/>
        <v/>
      </c>
      <c r="AY23" s="22"/>
      <c r="AZ23" s="43">
        <f t="shared" si="12"/>
        <v>0</v>
      </c>
      <c r="BA23" s="43">
        <f t="shared" si="13"/>
        <v>0</v>
      </c>
      <c r="BB23" s="43">
        <f t="shared" si="14"/>
        <v>0</v>
      </c>
      <c r="BC23" s="43">
        <f t="shared" si="15"/>
        <v>0</v>
      </c>
      <c r="BD23" s="43">
        <f t="shared" si="16"/>
        <v>0</v>
      </c>
      <c r="BE23" s="30">
        <f t="shared" si="53"/>
        <v>0</v>
      </c>
      <c r="BF23" s="22"/>
      <c r="BH23" s="22" t="str">
        <f t="shared" ca="1" si="17"/>
        <v>mars</v>
      </c>
      <c r="BI23" s="44">
        <f t="shared" ca="1" si="18"/>
        <v>3</v>
      </c>
      <c r="BJ23" s="44">
        <f t="shared" ca="1" si="19"/>
        <v>0</v>
      </c>
      <c r="BK23" s="44">
        <f t="shared" ca="1" si="20"/>
        <v>0</v>
      </c>
      <c r="BL23" s="45" t="str">
        <f t="shared" ca="1" si="21"/>
        <v>maj</v>
      </c>
      <c r="BM23" s="45">
        <f t="shared" ca="1" si="54"/>
        <v>0</v>
      </c>
      <c r="BN23" s="43">
        <f t="shared" ca="1" si="55"/>
        <v>0</v>
      </c>
      <c r="BO23" s="43">
        <f t="shared" ca="1" si="22"/>
        <v>0</v>
      </c>
      <c r="BP23" s="43">
        <f t="shared" ca="1" si="22"/>
        <v>0</v>
      </c>
      <c r="BQ23" s="43">
        <f t="shared" ca="1" si="22"/>
        <v>0</v>
      </c>
      <c r="BR23" s="43">
        <f t="shared" ca="1" si="22"/>
        <v>0</v>
      </c>
      <c r="BS23" s="30">
        <f t="shared" ca="1" si="56"/>
        <v>0</v>
      </c>
      <c r="BT23" s="46">
        <f t="shared" ca="1" si="23"/>
        <v>0</v>
      </c>
      <c r="BU23" s="46">
        <f t="shared" ca="1" si="24"/>
        <v>0</v>
      </c>
      <c r="BV23" s="46">
        <f t="shared" ca="1" si="25"/>
        <v>0</v>
      </c>
      <c r="BW23" s="46">
        <f t="shared" ca="1" si="26"/>
        <v>0</v>
      </c>
      <c r="BX23" s="46">
        <f t="shared" ca="1" si="27"/>
        <v>0</v>
      </c>
      <c r="BY23" s="46"/>
      <c r="BZ23" s="45" t="str">
        <f t="shared" ca="1" si="57"/>
        <v>maj</v>
      </c>
      <c r="CA23" s="45">
        <f t="shared" ca="1" si="57"/>
        <v>0</v>
      </c>
      <c r="CB23" s="43">
        <f t="shared" ca="1" si="28"/>
        <v>0</v>
      </c>
      <c r="CC23" s="43">
        <f t="shared" ca="1" si="29"/>
        <v>0</v>
      </c>
      <c r="CD23" s="43">
        <f t="shared" ca="1" si="30"/>
        <v>0</v>
      </c>
      <c r="CE23" s="43">
        <f t="shared" ca="1" si="31"/>
        <v>0</v>
      </c>
      <c r="CF23" s="43">
        <f t="shared" ca="1" si="32"/>
        <v>0</v>
      </c>
      <c r="CG23" s="30">
        <f t="shared" ca="1" si="58"/>
        <v>0</v>
      </c>
      <c r="CI23" s="24"/>
      <c r="CJ23" s="30">
        <f t="shared" ca="1" si="33"/>
        <v>0</v>
      </c>
      <c r="CK23" s="30">
        <f t="shared" ca="1" si="34"/>
        <v>0</v>
      </c>
      <c r="CL23" s="30">
        <f t="shared" ca="1" si="35"/>
        <v>0</v>
      </c>
      <c r="CM23" s="30">
        <f t="shared" ca="1" si="36"/>
        <v>0</v>
      </c>
      <c r="CN23" s="30">
        <f t="shared" ca="1" si="37"/>
        <v>0</v>
      </c>
      <c r="CO23" s="30">
        <f t="shared" ca="1" si="59"/>
        <v>0</v>
      </c>
      <c r="CP23" s="22"/>
      <c r="CQ23" s="32" t="str">
        <f t="shared" ca="1" si="38"/>
        <v>201905</v>
      </c>
      <c r="CR23" s="32">
        <f ca="1">MATCH('Mätvärden referensår'!CQ23,Normalår!$R$5:$R$200,0)-1</f>
        <v>52</v>
      </c>
      <c r="CS23" s="47">
        <f ca="1">OFFSET(Normalår!$S$5,CR23,0)</f>
        <v>1.1051424188202534</v>
      </c>
      <c r="CU23" s="43">
        <f t="shared" ca="1" si="60"/>
        <v>0</v>
      </c>
      <c r="CV23" s="43">
        <f t="shared" ca="1" si="61"/>
        <v>0</v>
      </c>
      <c r="CW23" s="43">
        <f t="shared" ca="1" si="62"/>
        <v>0</v>
      </c>
      <c r="CX23" s="43">
        <f t="shared" ca="1" si="63"/>
        <v>0</v>
      </c>
      <c r="CY23" s="43">
        <f t="shared" ca="1" si="64"/>
        <v>0</v>
      </c>
      <c r="CZ23" s="30">
        <f t="shared" ca="1" si="65"/>
        <v>0</v>
      </c>
      <c r="DB23" s="48"/>
      <c r="DD23" s="30">
        <f t="shared" ca="1" si="66"/>
        <v>0</v>
      </c>
      <c r="DE23" s="30">
        <f t="shared" ca="1" si="66"/>
        <v>0</v>
      </c>
      <c r="DF23" s="30">
        <f t="shared" ca="1" si="66"/>
        <v>0</v>
      </c>
      <c r="DG23" s="30">
        <f t="shared" ca="1" si="66"/>
        <v>0</v>
      </c>
      <c r="DH23" s="30">
        <f t="shared" ca="1" si="66"/>
        <v>0</v>
      </c>
      <c r="DI23" s="30">
        <f t="shared" ca="1" si="67"/>
        <v>0</v>
      </c>
      <c r="DM23" s="30">
        <f t="shared" ca="1" si="39"/>
        <v>0</v>
      </c>
      <c r="DN23" s="30">
        <f t="shared" ca="1" si="39"/>
        <v>0</v>
      </c>
      <c r="DO23" s="30">
        <f t="shared" ca="1" si="39"/>
        <v>0</v>
      </c>
      <c r="DP23" s="30">
        <f t="shared" ca="1" si="39"/>
        <v>0</v>
      </c>
      <c r="DQ23" s="30">
        <f t="shared" ca="1" si="39"/>
        <v>0</v>
      </c>
      <c r="DR23" s="30">
        <f t="shared" ca="1" si="68"/>
        <v>0</v>
      </c>
      <c r="DU23" s="36"/>
      <c r="DV23" s="36"/>
      <c r="DW23" s="36"/>
      <c r="DX23" s="36"/>
      <c r="DY23" s="36"/>
      <c r="DZ23" s="36"/>
      <c r="EA23" s="36"/>
      <c r="EB23" s="36"/>
      <c r="EC23" s="36"/>
      <c r="ED23" s="36"/>
      <c r="EE23" s="36"/>
      <c r="EF23" s="36"/>
      <c r="EG23" s="36"/>
      <c r="EH23" s="36"/>
      <c r="EI23" s="37" t="s">
        <v>1069</v>
      </c>
      <c r="EJ23" s="37">
        <v>21</v>
      </c>
      <c r="EK23" s="37"/>
      <c r="EL23" s="36"/>
      <c r="EM23" s="36"/>
      <c r="EN23" s="36"/>
      <c r="EO23" s="36"/>
      <c r="EP23" s="36"/>
      <c r="EQ23" s="36"/>
      <c r="ER23" s="36"/>
      <c r="ES23" s="36"/>
      <c r="ET23" s="36"/>
      <c r="EU23" s="36"/>
      <c r="EV23" s="36"/>
      <c r="EW23" s="36"/>
      <c r="EX23" s="36"/>
      <c r="EY23" s="36"/>
      <c r="EZ23" s="36"/>
    </row>
    <row r="24" spans="1:156" ht="16.5" customHeight="1" x14ac:dyDescent="0.25">
      <c r="F24" s="249">
        <f t="shared" ca="1" si="69"/>
        <v>2019</v>
      </c>
      <c r="G24" s="249" t="str">
        <f t="shared" ca="1" si="1"/>
        <v xml:space="preserve">jun </v>
      </c>
      <c r="H24" s="3"/>
      <c r="I24" s="41">
        <f t="shared" si="40"/>
        <v>0</v>
      </c>
      <c r="J24" s="259"/>
      <c r="K24" s="2"/>
      <c r="L24" s="41">
        <f t="shared" si="2"/>
        <v>0</v>
      </c>
      <c r="M24" s="259"/>
      <c r="N24" s="2"/>
      <c r="O24" s="41">
        <f t="shared" si="3"/>
        <v>0</v>
      </c>
      <c r="P24" s="259"/>
      <c r="Q24" s="42"/>
      <c r="R24" s="42"/>
      <c r="S24" s="42"/>
      <c r="T24" s="42"/>
      <c r="U24" s="42"/>
      <c r="V24" s="42"/>
      <c r="Y24" s="164">
        <f t="shared" si="4"/>
        <v>0</v>
      </c>
      <c r="Z24" s="164">
        <f t="shared" si="5"/>
        <v>0</v>
      </c>
      <c r="AA24" s="164">
        <f t="shared" si="6"/>
        <v>0</v>
      </c>
      <c r="AB24" s="164">
        <f t="shared" si="7"/>
        <v>0</v>
      </c>
      <c r="AC24" s="164">
        <f t="shared" si="8"/>
        <v>0</v>
      </c>
      <c r="AD24" s="163">
        <f t="shared" si="9"/>
        <v>0</v>
      </c>
      <c r="AE24" s="236"/>
      <c r="AG24" s="164">
        <f t="shared" si="41"/>
        <v>0</v>
      </c>
      <c r="AH24" s="164">
        <f t="shared" si="10"/>
        <v>0</v>
      </c>
      <c r="AI24" s="164">
        <f t="shared" si="10"/>
        <v>0</v>
      </c>
      <c r="AJ24" s="164">
        <f t="shared" si="10"/>
        <v>0</v>
      </c>
      <c r="AK24" s="164">
        <f t="shared" si="10"/>
        <v>0</v>
      </c>
      <c r="AL24" s="163">
        <f t="shared" si="11"/>
        <v>0</v>
      </c>
      <c r="AM24" s="129"/>
      <c r="AN24" s="163">
        <f t="shared" si="42"/>
        <v>0</v>
      </c>
      <c r="AO24" s="163">
        <f t="shared" si="43"/>
        <v>0</v>
      </c>
      <c r="AP24" s="163">
        <f t="shared" si="44"/>
        <v>0</v>
      </c>
      <c r="AQ24" s="163">
        <f t="shared" si="45"/>
        <v>0</v>
      </c>
      <c r="AR24" s="163">
        <f t="shared" si="46"/>
        <v>0</v>
      </c>
      <c r="AS24" s="163">
        <f t="shared" si="47"/>
        <v>0</v>
      </c>
      <c r="AT24" s="163">
        <f t="shared" si="48"/>
        <v>0</v>
      </c>
      <c r="AU24" s="132">
        <f t="shared" si="49"/>
        <v>0</v>
      </c>
      <c r="AV24" s="237" t="str">
        <f t="shared" si="50"/>
        <v/>
      </c>
      <c r="AW24" s="163">
        <f t="shared" si="51"/>
        <v>0</v>
      </c>
      <c r="AX24" s="237" t="str">
        <f t="shared" si="52"/>
        <v/>
      </c>
      <c r="AY24" s="22"/>
      <c r="AZ24" s="43">
        <f t="shared" si="12"/>
        <v>0</v>
      </c>
      <c r="BA24" s="43">
        <f t="shared" si="13"/>
        <v>0</v>
      </c>
      <c r="BB24" s="43">
        <f t="shared" si="14"/>
        <v>0</v>
      </c>
      <c r="BC24" s="43">
        <f t="shared" si="15"/>
        <v>0</v>
      </c>
      <c r="BD24" s="43">
        <f t="shared" si="16"/>
        <v>0</v>
      </c>
      <c r="BE24" s="30">
        <f t="shared" si="53"/>
        <v>0</v>
      </c>
      <c r="BF24" s="22"/>
      <c r="BH24" s="22" t="str">
        <f t="shared" ca="1" si="17"/>
        <v>apr</v>
      </c>
      <c r="BI24" s="44">
        <f t="shared" ca="1" si="18"/>
        <v>4</v>
      </c>
      <c r="BJ24" s="44">
        <f t="shared" ca="1" si="19"/>
        <v>0</v>
      </c>
      <c r="BK24" s="44">
        <f t="shared" ca="1" si="20"/>
        <v>0</v>
      </c>
      <c r="BL24" s="45" t="str">
        <f t="shared" ca="1" si="21"/>
        <v xml:space="preserve">jun </v>
      </c>
      <c r="BM24" s="45">
        <f t="shared" ca="1" si="54"/>
        <v>0</v>
      </c>
      <c r="BN24" s="43">
        <f t="shared" ca="1" si="55"/>
        <v>0</v>
      </c>
      <c r="BO24" s="43">
        <f t="shared" ca="1" si="22"/>
        <v>0</v>
      </c>
      <c r="BP24" s="43">
        <f t="shared" ca="1" si="22"/>
        <v>0</v>
      </c>
      <c r="BQ24" s="43">
        <f t="shared" ca="1" si="22"/>
        <v>0</v>
      </c>
      <c r="BR24" s="43">
        <f t="shared" ca="1" si="22"/>
        <v>0</v>
      </c>
      <c r="BS24" s="30">
        <f t="shared" ca="1" si="56"/>
        <v>0</v>
      </c>
      <c r="BT24" s="46">
        <f t="shared" ca="1" si="23"/>
        <v>0</v>
      </c>
      <c r="BU24" s="46">
        <f t="shared" ca="1" si="24"/>
        <v>0</v>
      </c>
      <c r="BV24" s="46">
        <f t="shared" ca="1" si="25"/>
        <v>0</v>
      </c>
      <c r="BW24" s="46">
        <f t="shared" ca="1" si="26"/>
        <v>0</v>
      </c>
      <c r="BX24" s="46">
        <f t="shared" ca="1" si="27"/>
        <v>0</v>
      </c>
      <c r="BY24" s="46"/>
      <c r="BZ24" s="45" t="str">
        <f t="shared" ca="1" si="57"/>
        <v xml:space="preserve">jun </v>
      </c>
      <c r="CA24" s="45">
        <f t="shared" ca="1" si="57"/>
        <v>0</v>
      </c>
      <c r="CB24" s="43">
        <f t="shared" ca="1" si="28"/>
        <v>0</v>
      </c>
      <c r="CC24" s="43">
        <f t="shared" ca="1" si="29"/>
        <v>0</v>
      </c>
      <c r="CD24" s="43">
        <f t="shared" ca="1" si="30"/>
        <v>0</v>
      </c>
      <c r="CE24" s="43">
        <f t="shared" ca="1" si="31"/>
        <v>0</v>
      </c>
      <c r="CF24" s="43">
        <f t="shared" ca="1" si="32"/>
        <v>0</v>
      </c>
      <c r="CG24" s="30">
        <f t="shared" ca="1" si="58"/>
        <v>0</v>
      </c>
      <c r="CI24" s="24"/>
      <c r="CJ24" s="30">
        <f t="shared" ca="1" si="33"/>
        <v>0</v>
      </c>
      <c r="CK24" s="30">
        <f t="shared" ca="1" si="34"/>
        <v>0</v>
      </c>
      <c r="CL24" s="30">
        <f t="shared" ca="1" si="35"/>
        <v>0</v>
      </c>
      <c r="CM24" s="30">
        <f t="shared" ca="1" si="36"/>
        <v>0</v>
      </c>
      <c r="CN24" s="30">
        <f t="shared" ca="1" si="37"/>
        <v>0</v>
      </c>
      <c r="CO24" s="30">
        <f t="shared" ca="1" si="59"/>
        <v>0</v>
      </c>
      <c r="CP24" s="22"/>
      <c r="CQ24" s="32" t="str">
        <f t="shared" ca="1" si="38"/>
        <v>201906</v>
      </c>
      <c r="CR24" s="32">
        <f ca="1">MATCH('Mätvärden referensår'!CQ24,Normalår!$R$5:$R$200,0)-1</f>
        <v>53</v>
      </c>
      <c r="CS24" s="47">
        <f ca="1">OFFSET(Normalår!$S$5,CR24,0)</f>
        <v>1.1051424188202534</v>
      </c>
      <c r="CU24" s="43">
        <f t="shared" ca="1" si="60"/>
        <v>0</v>
      </c>
      <c r="CV24" s="43">
        <f t="shared" ca="1" si="61"/>
        <v>0</v>
      </c>
      <c r="CW24" s="43">
        <f t="shared" ca="1" si="62"/>
        <v>0</v>
      </c>
      <c r="CX24" s="43">
        <f t="shared" ca="1" si="63"/>
        <v>0</v>
      </c>
      <c r="CY24" s="43">
        <f ca="1">CN24*CS24</f>
        <v>0</v>
      </c>
      <c r="CZ24" s="30">
        <f t="shared" ca="1" si="65"/>
        <v>0</v>
      </c>
      <c r="DB24" s="48"/>
      <c r="DD24" s="30">
        <f t="shared" ca="1" si="66"/>
        <v>0</v>
      </c>
      <c r="DE24" s="30">
        <f t="shared" ca="1" si="66"/>
        <v>0</v>
      </c>
      <c r="DF24" s="30">
        <f t="shared" ca="1" si="66"/>
        <v>0</v>
      </c>
      <c r="DG24" s="30">
        <f t="shared" ca="1" si="66"/>
        <v>0</v>
      </c>
      <c r="DH24" s="30">
        <f t="shared" ca="1" si="66"/>
        <v>0</v>
      </c>
      <c r="DI24" s="30">
        <f t="shared" ca="1" si="67"/>
        <v>0</v>
      </c>
      <c r="DM24" s="30">
        <f t="shared" ca="1" si="39"/>
        <v>0</v>
      </c>
      <c r="DN24" s="30">
        <f t="shared" ca="1" si="39"/>
        <v>0</v>
      </c>
      <c r="DO24" s="30">
        <f t="shared" ca="1" si="39"/>
        <v>0</v>
      </c>
      <c r="DP24" s="30">
        <f t="shared" ca="1" si="39"/>
        <v>0</v>
      </c>
      <c r="DQ24" s="30">
        <f t="shared" ca="1" si="39"/>
        <v>0</v>
      </c>
      <c r="DR24" s="30">
        <f t="shared" ca="1" si="68"/>
        <v>0</v>
      </c>
      <c r="EI24" s="3" t="s">
        <v>1070</v>
      </c>
      <c r="EJ24" s="3">
        <v>22</v>
      </c>
      <c r="EK24" s="3"/>
    </row>
    <row r="25" spans="1:156" ht="16.5" customHeight="1" x14ac:dyDescent="0.25">
      <c r="F25" s="249">
        <f t="shared" ca="1" si="69"/>
        <v>2019</v>
      </c>
      <c r="G25" s="249" t="str">
        <f t="shared" ca="1" si="1"/>
        <v>jul</v>
      </c>
      <c r="H25" s="3"/>
      <c r="I25" s="41">
        <f t="shared" si="40"/>
        <v>0</v>
      </c>
      <c r="J25" s="259"/>
      <c r="K25" s="2"/>
      <c r="L25" s="41">
        <f t="shared" si="2"/>
        <v>0</v>
      </c>
      <c r="M25" s="259"/>
      <c r="N25" s="2"/>
      <c r="O25" s="41">
        <f t="shared" si="3"/>
        <v>0</v>
      </c>
      <c r="P25" s="259"/>
      <c r="Q25" s="42"/>
      <c r="R25" s="42"/>
      <c r="S25" s="42"/>
      <c r="T25" s="42"/>
      <c r="U25" s="42"/>
      <c r="V25" s="42"/>
      <c r="Y25" s="164">
        <f t="shared" si="4"/>
        <v>0</v>
      </c>
      <c r="Z25" s="164">
        <f t="shared" si="5"/>
        <v>0</v>
      </c>
      <c r="AA25" s="164">
        <f t="shared" si="6"/>
        <v>0</v>
      </c>
      <c r="AB25" s="164">
        <f t="shared" si="7"/>
        <v>0</v>
      </c>
      <c r="AC25" s="164">
        <f t="shared" si="8"/>
        <v>0</v>
      </c>
      <c r="AD25" s="163">
        <f t="shared" si="9"/>
        <v>0</v>
      </c>
      <c r="AE25" s="236"/>
      <c r="AG25" s="164">
        <f t="shared" si="41"/>
        <v>0</v>
      </c>
      <c r="AH25" s="164">
        <f t="shared" si="10"/>
        <v>0</v>
      </c>
      <c r="AI25" s="164">
        <f t="shared" si="10"/>
        <v>0</v>
      </c>
      <c r="AJ25" s="164">
        <f t="shared" si="10"/>
        <v>0</v>
      </c>
      <c r="AK25" s="164">
        <f t="shared" si="10"/>
        <v>0</v>
      </c>
      <c r="AL25" s="163">
        <f t="shared" si="11"/>
        <v>0</v>
      </c>
      <c r="AM25" s="129"/>
      <c r="AN25" s="163">
        <f t="shared" si="42"/>
        <v>0</v>
      </c>
      <c r="AO25" s="163">
        <f t="shared" si="43"/>
        <v>0</v>
      </c>
      <c r="AP25" s="163">
        <f t="shared" si="44"/>
        <v>0</v>
      </c>
      <c r="AQ25" s="163">
        <f t="shared" si="45"/>
        <v>0</v>
      </c>
      <c r="AR25" s="163">
        <f t="shared" si="46"/>
        <v>0</v>
      </c>
      <c r="AS25" s="163">
        <f t="shared" si="47"/>
        <v>0</v>
      </c>
      <c r="AT25" s="163">
        <f t="shared" si="48"/>
        <v>0</v>
      </c>
      <c r="AU25" s="132">
        <f t="shared" si="49"/>
        <v>0</v>
      </c>
      <c r="AV25" s="237" t="str">
        <f t="shared" si="50"/>
        <v/>
      </c>
      <c r="AW25" s="163">
        <f t="shared" si="51"/>
        <v>0</v>
      </c>
      <c r="AX25" s="237" t="str">
        <f t="shared" si="52"/>
        <v/>
      </c>
      <c r="AY25" s="22"/>
      <c r="AZ25" s="43">
        <f t="shared" si="12"/>
        <v>0</v>
      </c>
      <c r="BA25" s="43">
        <f t="shared" si="13"/>
        <v>0</v>
      </c>
      <c r="BB25" s="43">
        <f t="shared" si="14"/>
        <v>0</v>
      </c>
      <c r="BC25" s="43">
        <f t="shared" si="15"/>
        <v>0</v>
      </c>
      <c r="BD25" s="43">
        <f t="shared" si="16"/>
        <v>0</v>
      </c>
      <c r="BE25" s="30">
        <f t="shared" si="53"/>
        <v>0</v>
      </c>
      <c r="BF25" s="22"/>
      <c r="BH25" s="22" t="str">
        <f t="shared" ca="1" si="17"/>
        <v>maj</v>
      </c>
      <c r="BI25" s="44">
        <f t="shared" ca="1" si="18"/>
        <v>5</v>
      </c>
      <c r="BJ25" s="44">
        <f t="shared" ca="1" si="19"/>
        <v>0</v>
      </c>
      <c r="BK25" s="44">
        <f t="shared" ca="1" si="20"/>
        <v>0</v>
      </c>
      <c r="BL25" s="45" t="str">
        <f t="shared" ca="1" si="21"/>
        <v>jul</v>
      </c>
      <c r="BM25" s="45">
        <f t="shared" ca="1" si="54"/>
        <v>0</v>
      </c>
      <c r="BN25" s="43">
        <f t="shared" ca="1" si="55"/>
        <v>0</v>
      </c>
      <c r="BO25" s="43">
        <f t="shared" ca="1" si="22"/>
        <v>0</v>
      </c>
      <c r="BP25" s="43">
        <f t="shared" ca="1" si="22"/>
        <v>0</v>
      </c>
      <c r="BQ25" s="43">
        <f t="shared" ca="1" si="22"/>
        <v>0</v>
      </c>
      <c r="BR25" s="43">
        <f t="shared" ca="1" si="22"/>
        <v>0</v>
      </c>
      <c r="BS25" s="30">
        <f t="shared" ca="1" si="56"/>
        <v>0</v>
      </c>
      <c r="BT25" s="46">
        <f t="shared" ca="1" si="23"/>
        <v>0</v>
      </c>
      <c r="BU25" s="46">
        <f t="shared" ca="1" si="24"/>
        <v>0</v>
      </c>
      <c r="BV25" s="46">
        <f t="shared" ca="1" si="25"/>
        <v>0</v>
      </c>
      <c r="BW25" s="46">
        <f t="shared" ca="1" si="26"/>
        <v>0</v>
      </c>
      <c r="BX25" s="46">
        <f t="shared" ca="1" si="27"/>
        <v>0</v>
      </c>
      <c r="BY25" s="46"/>
      <c r="BZ25" s="45" t="str">
        <f t="shared" ca="1" si="57"/>
        <v>jul</v>
      </c>
      <c r="CA25" s="45">
        <f t="shared" ca="1" si="57"/>
        <v>0</v>
      </c>
      <c r="CB25" s="43">
        <f t="shared" ca="1" si="28"/>
        <v>0</v>
      </c>
      <c r="CC25" s="43">
        <f t="shared" ca="1" si="29"/>
        <v>0</v>
      </c>
      <c r="CD25" s="43">
        <f t="shared" ca="1" si="30"/>
        <v>0</v>
      </c>
      <c r="CE25" s="43">
        <f t="shared" ca="1" si="31"/>
        <v>0</v>
      </c>
      <c r="CF25" s="43">
        <f t="shared" ca="1" si="32"/>
        <v>0</v>
      </c>
      <c r="CG25" s="30">
        <f t="shared" ca="1" si="58"/>
        <v>0</v>
      </c>
      <c r="CI25" s="24"/>
      <c r="CJ25" s="30">
        <f t="shared" ca="1" si="33"/>
        <v>0</v>
      </c>
      <c r="CK25" s="30">
        <f t="shared" ca="1" si="34"/>
        <v>0</v>
      </c>
      <c r="CL25" s="30">
        <f t="shared" ca="1" si="35"/>
        <v>0</v>
      </c>
      <c r="CM25" s="30">
        <f t="shared" ca="1" si="36"/>
        <v>0</v>
      </c>
      <c r="CN25" s="30">
        <f t="shared" ca="1" si="37"/>
        <v>0</v>
      </c>
      <c r="CO25" s="30">
        <f t="shared" ca="1" si="59"/>
        <v>0</v>
      </c>
      <c r="CP25" s="22"/>
      <c r="CQ25" s="32" t="str">
        <f t="shared" ca="1" si="38"/>
        <v>201907</v>
      </c>
      <c r="CR25" s="32">
        <f ca="1">MATCH('Mätvärden referensår'!CQ25,Normalår!$R$5:$R$200,0)-1</f>
        <v>54</v>
      </c>
      <c r="CS25" s="47">
        <f ca="1">OFFSET(Normalår!$S$5,CR25,0)</f>
        <v>1.1051424188202534</v>
      </c>
      <c r="CU25" s="43">
        <f t="shared" ca="1" si="60"/>
        <v>0</v>
      </c>
      <c r="CV25" s="43">
        <f t="shared" ca="1" si="61"/>
        <v>0</v>
      </c>
      <c r="CW25" s="43">
        <f t="shared" ca="1" si="62"/>
        <v>0</v>
      </c>
      <c r="CX25" s="43">
        <f t="shared" ca="1" si="63"/>
        <v>0</v>
      </c>
      <c r="CY25" s="43">
        <f t="shared" ca="1" si="64"/>
        <v>0</v>
      </c>
      <c r="CZ25" s="30">
        <f t="shared" ca="1" si="65"/>
        <v>0</v>
      </c>
      <c r="DB25" s="48"/>
      <c r="DD25" s="30">
        <f t="shared" ca="1" si="66"/>
        <v>0</v>
      </c>
      <c r="DE25" s="30">
        <f t="shared" ca="1" si="66"/>
        <v>0</v>
      </c>
      <c r="DF25" s="30">
        <f t="shared" ca="1" si="66"/>
        <v>0</v>
      </c>
      <c r="DG25" s="30">
        <f t="shared" ca="1" si="66"/>
        <v>0</v>
      </c>
      <c r="DH25" s="30">
        <f t="shared" ca="1" si="66"/>
        <v>0</v>
      </c>
      <c r="DI25" s="30">
        <f t="shared" ca="1" si="67"/>
        <v>0</v>
      </c>
      <c r="DM25" s="30">
        <f t="shared" ca="1" si="39"/>
        <v>0</v>
      </c>
      <c r="DN25" s="30">
        <f t="shared" ca="1" si="39"/>
        <v>0</v>
      </c>
      <c r="DO25" s="30">
        <f t="shared" ca="1" si="39"/>
        <v>0</v>
      </c>
      <c r="DP25" s="30">
        <f t="shared" ca="1" si="39"/>
        <v>0</v>
      </c>
      <c r="DQ25" s="30">
        <f t="shared" ca="1" si="39"/>
        <v>0</v>
      </c>
      <c r="DR25" s="30">
        <f t="shared" ca="1" si="68"/>
        <v>0</v>
      </c>
      <c r="EI25" s="3" t="s">
        <v>1071</v>
      </c>
      <c r="EJ25" s="3">
        <v>23</v>
      </c>
      <c r="EK25" s="3"/>
    </row>
    <row r="26" spans="1:156" ht="16.5" customHeight="1" x14ac:dyDescent="0.25">
      <c r="F26" s="249">
        <f t="shared" ca="1" si="69"/>
        <v>2019</v>
      </c>
      <c r="G26" s="249" t="str">
        <f t="shared" ca="1" si="1"/>
        <v>aug</v>
      </c>
      <c r="H26" s="3"/>
      <c r="I26" s="41">
        <f t="shared" si="40"/>
        <v>0</v>
      </c>
      <c r="J26" s="259"/>
      <c r="K26" s="2"/>
      <c r="L26" s="41">
        <f t="shared" si="2"/>
        <v>0</v>
      </c>
      <c r="M26" s="259"/>
      <c r="N26" s="2"/>
      <c r="O26" s="41">
        <f t="shared" si="3"/>
        <v>0</v>
      </c>
      <c r="P26" s="259"/>
      <c r="Q26" s="42"/>
      <c r="R26" s="42"/>
      <c r="S26" s="42"/>
      <c r="T26" s="42"/>
      <c r="U26" s="42"/>
      <c r="V26" s="42"/>
      <c r="Y26" s="164">
        <f t="shared" si="4"/>
        <v>0</v>
      </c>
      <c r="Z26" s="164">
        <f t="shared" si="5"/>
        <v>0</v>
      </c>
      <c r="AA26" s="164">
        <f t="shared" si="6"/>
        <v>0</v>
      </c>
      <c r="AB26" s="164">
        <f t="shared" si="7"/>
        <v>0</v>
      </c>
      <c r="AC26" s="164">
        <f t="shared" si="8"/>
        <v>0</v>
      </c>
      <c r="AD26" s="163">
        <f t="shared" si="9"/>
        <v>0</v>
      </c>
      <c r="AE26" s="236"/>
      <c r="AG26" s="164">
        <f t="shared" si="41"/>
        <v>0</v>
      </c>
      <c r="AH26" s="164">
        <f t="shared" si="10"/>
        <v>0</v>
      </c>
      <c r="AI26" s="164">
        <f t="shared" si="10"/>
        <v>0</v>
      </c>
      <c r="AJ26" s="164">
        <f t="shared" si="10"/>
        <v>0</v>
      </c>
      <c r="AK26" s="164">
        <f t="shared" si="10"/>
        <v>0</v>
      </c>
      <c r="AL26" s="163">
        <f t="shared" si="11"/>
        <v>0</v>
      </c>
      <c r="AM26" s="129"/>
      <c r="AN26" s="163">
        <f t="shared" si="42"/>
        <v>0</v>
      </c>
      <c r="AO26" s="163">
        <f t="shared" si="43"/>
        <v>0</v>
      </c>
      <c r="AP26" s="163">
        <f t="shared" si="44"/>
        <v>0</v>
      </c>
      <c r="AQ26" s="163">
        <f t="shared" si="45"/>
        <v>0</v>
      </c>
      <c r="AR26" s="163">
        <f t="shared" si="46"/>
        <v>0</v>
      </c>
      <c r="AS26" s="163">
        <f t="shared" si="47"/>
        <v>0</v>
      </c>
      <c r="AT26" s="163">
        <f t="shared" si="48"/>
        <v>0</v>
      </c>
      <c r="AU26" s="132">
        <f t="shared" si="49"/>
        <v>0</v>
      </c>
      <c r="AV26" s="237" t="str">
        <f t="shared" si="50"/>
        <v/>
      </c>
      <c r="AW26" s="163">
        <f t="shared" si="51"/>
        <v>0</v>
      </c>
      <c r="AX26" s="237" t="str">
        <f t="shared" si="52"/>
        <v/>
      </c>
      <c r="AY26" s="22"/>
      <c r="AZ26" s="43">
        <f t="shared" si="12"/>
        <v>0</v>
      </c>
      <c r="BA26" s="43">
        <f t="shared" si="13"/>
        <v>0</v>
      </c>
      <c r="BB26" s="43">
        <f t="shared" si="14"/>
        <v>0</v>
      </c>
      <c r="BC26" s="43">
        <f t="shared" si="15"/>
        <v>0</v>
      </c>
      <c r="BD26" s="43">
        <f t="shared" si="16"/>
        <v>0</v>
      </c>
      <c r="BE26" s="30">
        <f t="shared" si="53"/>
        <v>0</v>
      </c>
      <c r="BF26" s="22"/>
      <c r="BH26" s="22" t="str">
        <f t="shared" ca="1" si="17"/>
        <v xml:space="preserve">jun </v>
      </c>
      <c r="BI26" s="44">
        <f t="shared" ca="1" si="18"/>
        <v>6</v>
      </c>
      <c r="BJ26" s="44">
        <f t="shared" ca="1" si="19"/>
        <v>0</v>
      </c>
      <c r="BK26" s="44">
        <f t="shared" ca="1" si="20"/>
        <v>0</v>
      </c>
      <c r="BL26" s="45" t="str">
        <f t="shared" ca="1" si="21"/>
        <v>aug</v>
      </c>
      <c r="BM26" s="45">
        <f t="shared" ca="1" si="54"/>
        <v>0</v>
      </c>
      <c r="BN26" s="43">
        <f t="shared" ca="1" si="55"/>
        <v>0</v>
      </c>
      <c r="BO26" s="43">
        <f t="shared" ca="1" si="22"/>
        <v>0</v>
      </c>
      <c r="BP26" s="43">
        <f t="shared" ca="1" si="22"/>
        <v>0</v>
      </c>
      <c r="BQ26" s="43">
        <f t="shared" ca="1" si="22"/>
        <v>0</v>
      </c>
      <c r="BR26" s="43">
        <f t="shared" ca="1" si="22"/>
        <v>0</v>
      </c>
      <c r="BS26" s="30">
        <f t="shared" ca="1" si="56"/>
        <v>0</v>
      </c>
      <c r="BT26" s="46">
        <f t="shared" ca="1" si="23"/>
        <v>0</v>
      </c>
      <c r="BU26" s="46">
        <f t="shared" ca="1" si="24"/>
        <v>0</v>
      </c>
      <c r="BV26" s="46">
        <f t="shared" ca="1" si="25"/>
        <v>0</v>
      </c>
      <c r="BW26" s="46">
        <f t="shared" ca="1" si="26"/>
        <v>0</v>
      </c>
      <c r="BX26" s="46">
        <f t="shared" ca="1" si="27"/>
        <v>0</v>
      </c>
      <c r="BY26" s="46"/>
      <c r="BZ26" s="45" t="str">
        <f t="shared" ca="1" si="57"/>
        <v>aug</v>
      </c>
      <c r="CA26" s="45">
        <f t="shared" ca="1" si="57"/>
        <v>0</v>
      </c>
      <c r="CB26" s="43">
        <f t="shared" ca="1" si="28"/>
        <v>0</v>
      </c>
      <c r="CC26" s="43">
        <f t="shared" ca="1" si="29"/>
        <v>0</v>
      </c>
      <c r="CD26" s="43">
        <f t="shared" ca="1" si="30"/>
        <v>0</v>
      </c>
      <c r="CE26" s="43">
        <f t="shared" ca="1" si="31"/>
        <v>0</v>
      </c>
      <c r="CF26" s="43">
        <f t="shared" ca="1" si="32"/>
        <v>0</v>
      </c>
      <c r="CG26" s="30">
        <f t="shared" ca="1" si="58"/>
        <v>0</v>
      </c>
      <c r="CI26" s="24"/>
      <c r="CJ26" s="30">
        <f t="shared" ca="1" si="33"/>
        <v>0</v>
      </c>
      <c r="CK26" s="30">
        <f t="shared" ca="1" si="34"/>
        <v>0</v>
      </c>
      <c r="CL26" s="30">
        <f t="shared" ca="1" si="35"/>
        <v>0</v>
      </c>
      <c r="CM26" s="30">
        <f t="shared" ca="1" si="36"/>
        <v>0</v>
      </c>
      <c r="CN26" s="30">
        <f t="shared" ca="1" si="37"/>
        <v>0</v>
      </c>
      <c r="CO26" s="30">
        <f t="shared" ca="1" si="59"/>
        <v>0</v>
      </c>
      <c r="CP26" s="22"/>
      <c r="CQ26" s="32" t="str">
        <f t="shared" ca="1" si="38"/>
        <v>201908</v>
      </c>
      <c r="CR26" s="32">
        <f ca="1">MATCH('Mätvärden referensår'!CQ26,Normalår!$R$5:$R$200,0)-1</f>
        <v>55</v>
      </c>
      <c r="CS26" s="47">
        <f ca="1">OFFSET(Normalår!$S$5,CR26,0)</f>
        <v>1.1051424188202534</v>
      </c>
      <c r="CU26" s="43">
        <f t="shared" ca="1" si="60"/>
        <v>0</v>
      </c>
      <c r="CV26" s="43">
        <f t="shared" ca="1" si="61"/>
        <v>0</v>
      </c>
      <c r="CW26" s="43">
        <f t="shared" ca="1" si="62"/>
        <v>0</v>
      </c>
      <c r="CX26" s="43">
        <f t="shared" ca="1" si="63"/>
        <v>0</v>
      </c>
      <c r="CY26" s="43">
        <f t="shared" ca="1" si="64"/>
        <v>0</v>
      </c>
      <c r="CZ26" s="30">
        <f t="shared" ca="1" si="65"/>
        <v>0</v>
      </c>
      <c r="DB26" s="48"/>
      <c r="DD26" s="30">
        <f t="shared" ca="1" si="66"/>
        <v>0</v>
      </c>
      <c r="DE26" s="30">
        <f t="shared" ca="1" si="66"/>
        <v>0</v>
      </c>
      <c r="DF26" s="30">
        <f t="shared" ca="1" si="66"/>
        <v>0</v>
      </c>
      <c r="DG26" s="30">
        <f t="shared" ca="1" si="66"/>
        <v>0</v>
      </c>
      <c r="DH26" s="30">
        <f t="shared" ca="1" si="66"/>
        <v>0</v>
      </c>
      <c r="DI26" s="30">
        <f t="shared" ca="1" si="67"/>
        <v>0</v>
      </c>
      <c r="DM26" s="30">
        <f t="shared" ca="1" si="39"/>
        <v>0</v>
      </c>
      <c r="DN26" s="30">
        <f t="shared" ca="1" si="39"/>
        <v>0</v>
      </c>
      <c r="DO26" s="30">
        <f t="shared" ca="1" si="39"/>
        <v>0</v>
      </c>
      <c r="DP26" s="30">
        <f t="shared" ca="1" si="39"/>
        <v>0</v>
      </c>
      <c r="DQ26" s="30">
        <f t="shared" ca="1" si="39"/>
        <v>0</v>
      </c>
      <c r="DR26" s="30">
        <f t="shared" ca="1" si="68"/>
        <v>0</v>
      </c>
      <c r="EI26" s="3" t="s">
        <v>1072</v>
      </c>
      <c r="EJ26" s="3">
        <v>24</v>
      </c>
      <c r="EK26" s="3"/>
    </row>
    <row r="27" spans="1:156" ht="16.5" customHeight="1" x14ac:dyDescent="0.25">
      <c r="F27" s="249">
        <f t="shared" ca="1" si="69"/>
        <v>2019</v>
      </c>
      <c r="G27" s="249" t="str">
        <f t="shared" ca="1" si="1"/>
        <v>sept</v>
      </c>
      <c r="H27" s="3"/>
      <c r="I27" s="41">
        <f t="shared" si="40"/>
        <v>0</v>
      </c>
      <c r="J27" s="259"/>
      <c r="K27" s="2"/>
      <c r="L27" s="41">
        <f t="shared" si="2"/>
        <v>0</v>
      </c>
      <c r="M27" s="259"/>
      <c r="N27" s="2"/>
      <c r="O27" s="41">
        <f t="shared" si="3"/>
        <v>0</v>
      </c>
      <c r="P27" s="259"/>
      <c r="Q27" s="42"/>
      <c r="R27" s="42"/>
      <c r="S27" s="42"/>
      <c r="T27" s="42"/>
      <c r="U27" s="42"/>
      <c r="V27" s="42"/>
      <c r="Y27" s="164">
        <f t="shared" si="4"/>
        <v>0</v>
      </c>
      <c r="Z27" s="164">
        <f t="shared" si="5"/>
        <v>0</v>
      </c>
      <c r="AA27" s="164">
        <f t="shared" si="6"/>
        <v>0</v>
      </c>
      <c r="AB27" s="164">
        <f t="shared" si="7"/>
        <v>0</v>
      </c>
      <c r="AC27" s="164">
        <f t="shared" si="8"/>
        <v>0</v>
      </c>
      <c r="AD27" s="163">
        <f t="shared" si="9"/>
        <v>0</v>
      </c>
      <c r="AE27" s="236"/>
      <c r="AG27" s="164">
        <f t="shared" si="41"/>
        <v>0</v>
      </c>
      <c r="AH27" s="164">
        <f t="shared" si="10"/>
        <v>0</v>
      </c>
      <c r="AI27" s="164">
        <f t="shared" si="10"/>
        <v>0</v>
      </c>
      <c r="AJ27" s="164">
        <f t="shared" si="10"/>
        <v>0</v>
      </c>
      <c r="AK27" s="164">
        <f t="shared" si="10"/>
        <v>0</v>
      </c>
      <c r="AL27" s="163">
        <f t="shared" si="11"/>
        <v>0</v>
      </c>
      <c r="AM27" s="129"/>
      <c r="AN27" s="163">
        <f t="shared" si="42"/>
        <v>0</v>
      </c>
      <c r="AO27" s="163">
        <f t="shared" si="43"/>
        <v>0</v>
      </c>
      <c r="AP27" s="163">
        <f t="shared" si="44"/>
        <v>0</v>
      </c>
      <c r="AQ27" s="163">
        <f t="shared" si="45"/>
        <v>0</v>
      </c>
      <c r="AR27" s="163">
        <f t="shared" si="46"/>
        <v>0</v>
      </c>
      <c r="AS27" s="163">
        <f t="shared" si="47"/>
        <v>0</v>
      </c>
      <c r="AT27" s="163">
        <f t="shared" si="48"/>
        <v>0</v>
      </c>
      <c r="AU27" s="132">
        <f t="shared" si="49"/>
        <v>0</v>
      </c>
      <c r="AV27" s="237" t="str">
        <f t="shared" si="50"/>
        <v/>
      </c>
      <c r="AW27" s="163">
        <f t="shared" si="51"/>
        <v>0</v>
      </c>
      <c r="AX27" s="237" t="str">
        <f t="shared" si="52"/>
        <v/>
      </c>
      <c r="AY27" s="22"/>
      <c r="AZ27" s="43">
        <f t="shared" si="12"/>
        <v>0</v>
      </c>
      <c r="BA27" s="43">
        <f t="shared" si="13"/>
        <v>0</v>
      </c>
      <c r="BB27" s="43">
        <f t="shared" si="14"/>
        <v>0</v>
      </c>
      <c r="BC27" s="43">
        <f t="shared" si="15"/>
        <v>0</v>
      </c>
      <c r="BD27" s="43">
        <f t="shared" si="16"/>
        <v>0</v>
      </c>
      <c r="BE27" s="30">
        <f t="shared" si="53"/>
        <v>0</v>
      </c>
      <c r="BF27" s="22"/>
      <c r="BH27" s="22" t="str">
        <f t="shared" ca="1" si="17"/>
        <v>jul</v>
      </c>
      <c r="BI27" s="44">
        <f t="shared" ca="1" si="18"/>
        <v>7</v>
      </c>
      <c r="BJ27" s="44">
        <f t="shared" ca="1" si="19"/>
        <v>0</v>
      </c>
      <c r="BK27" s="44">
        <f t="shared" ca="1" si="20"/>
        <v>0</v>
      </c>
      <c r="BL27" s="45" t="str">
        <f t="shared" ca="1" si="21"/>
        <v>sept</v>
      </c>
      <c r="BM27" s="45">
        <f t="shared" ca="1" si="54"/>
        <v>0</v>
      </c>
      <c r="BN27" s="43">
        <f t="shared" ca="1" si="55"/>
        <v>0</v>
      </c>
      <c r="BO27" s="43">
        <f t="shared" ca="1" si="22"/>
        <v>0</v>
      </c>
      <c r="BP27" s="43">
        <f t="shared" ca="1" si="22"/>
        <v>0</v>
      </c>
      <c r="BQ27" s="43">
        <f t="shared" ca="1" si="22"/>
        <v>0</v>
      </c>
      <c r="BR27" s="43">
        <f t="shared" ca="1" si="22"/>
        <v>0</v>
      </c>
      <c r="BS27" s="30">
        <f t="shared" ca="1" si="56"/>
        <v>0</v>
      </c>
      <c r="BT27" s="46">
        <f t="shared" ca="1" si="23"/>
        <v>0</v>
      </c>
      <c r="BU27" s="46">
        <f t="shared" ca="1" si="24"/>
        <v>0</v>
      </c>
      <c r="BV27" s="46">
        <f t="shared" ca="1" si="25"/>
        <v>0</v>
      </c>
      <c r="BW27" s="46">
        <f t="shared" ca="1" si="26"/>
        <v>0</v>
      </c>
      <c r="BX27" s="46">
        <f t="shared" ca="1" si="27"/>
        <v>0</v>
      </c>
      <c r="BY27" s="46"/>
      <c r="BZ27" s="45" t="str">
        <f t="shared" ca="1" si="57"/>
        <v>sept</v>
      </c>
      <c r="CA27" s="45">
        <f t="shared" ca="1" si="57"/>
        <v>0</v>
      </c>
      <c r="CB27" s="43">
        <f t="shared" ca="1" si="28"/>
        <v>0</v>
      </c>
      <c r="CC27" s="43">
        <f t="shared" ca="1" si="29"/>
        <v>0</v>
      </c>
      <c r="CD27" s="43">
        <f t="shared" ca="1" si="30"/>
        <v>0</v>
      </c>
      <c r="CE27" s="43">
        <f t="shared" ca="1" si="31"/>
        <v>0</v>
      </c>
      <c r="CF27" s="43">
        <f t="shared" ca="1" si="32"/>
        <v>0</v>
      </c>
      <c r="CG27" s="30">
        <f t="shared" ca="1" si="58"/>
        <v>0</v>
      </c>
      <c r="CI27" s="24"/>
      <c r="CJ27" s="30">
        <f t="shared" ca="1" si="33"/>
        <v>0</v>
      </c>
      <c r="CK27" s="30">
        <f t="shared" ca="1" si="34"/>
        <v>0</v>
      </c>
      <c r="CL27" s="30">
        <f t="shared" ca="1" si="35"/>
        <v>0</v>
      </c>
      <c r="CM27" s="30">
        <f t="shared" ca="1" si="36"/>
        <v>0</v>
      </c>
      <c r="CN27" s="30">
        <f t="shared" ca="1" si="37"/>
        <v>0</v>
      </c>
      <c r="CO27" s="30">
        <f t="shared" ca="1" si="59"/>
        <v>0</v>
      </c>
      <c r="CP27" s="22"/>
      <c r="CQ27" s="32" t="str">
        <f t="shared" ca="1" si="38"/>
        <v>201909</v>
      </c>
      <c r="CR27" s="32">
        <f ca="1">MATCH('Mätvärden referensår'!CQ27,Normalår!$R$5:$R$200,0)-1</f>
        <v>56</v>
      </c>
      <c r="CS27" s="47">
        <f ca="1">OFFSET(Normalår!$S$5,CR27,0)</f>
        <v>1.1051424188202534</v>
      </c>
      <c r="CU27" s="43">
        <f t="shared" ca="1" si="60"/>
        <v>0</v>
      </c>
      <c r="CV27" s="43">
        <f t="shared" ca="1" si="61"/>
        <v>0</v>
      </c>
      <c r="CW27" s="43">
        <f t="shared" ca="1" si="62"/>
        <v>0</v>
      </c>
      <c r="CX27" s="43">
        <f t="shared" ca="1" si="63"/>
        <v>0</v>
      </c>
      <c r="CY27" s="43">
        <f t="shared" ca="1" si="64"/>
        <v>0</v>
      </c>
      <c r="CZ27" s="30">
        <f t="shared" ca="1" si="65"/>
        <v>0</v>
      </c>
      <c r="DB27" s="48"/>
      <c r="DD27" s="30">
        <f t="shared" ca="1" si="66"/>
        <v>0</v>
      </c>
      <c r="DE27" s="30">
        <f t="shared" ca="1" si="66"/>
        <v>0</v>
      </c>
      <c r="DF27" s="30">
        <f t="shared" ca="1" si="66"/>
        <v>0</v>
      </c>
      <c r="DG27" s="30">
        <f t="shared" ca="1" si="66"/>
        <v>0</v>
      </c>
      <c r="DH27" s="30">
        <f t="shared" ca="1" si="66"/>
        <v>0</v>
      </c>
      <c r="DI27" s="30">
        <f t="shared" ca="1" si="67"/>
        <v>0</v>
      </c>
      <c r="DM27" s="30">
        <f t="shared" ca="1" si="39"/>
        <v>0</v>
      </c>
      <c r="DN27" s="30">
        <f t="shared" ca="1" si="39"/>
        <v>0</v>
      </c>
      <c r="DO27" s="30">
        <f t="shared" ca="1" si="39"/>
        <v>0</v>
      </c>
      <c r="DP27" s="30">
        <f t="shared" ca="1" si="39"/>
        <v>0</v>
      </c>
      <c r="DQ27" s="30">
        <f t="shared" ca="1" si="39"/>
        <v>0</v>
      </c>
      <c r="DR27" s="30">
        <f t="shared" ca="1" si="68"/>
        <v>0</v>
      </c>
      <c r="EI27" s="80" t="str">
        <f>G15</f>
        <v>jan</v>
      </c>
      <c r="EJ27" s="85"/>
      <c r="EK27" s="85"/>
    </row>
    <row r="28" spans="1:156" ht="16.5" customHeight="1" x14ac:dyDescent="0.25">
      <c r="F28" s="249">
        <f t="shared" ca="1" si="69"/>
        <v>2019</v>
      </c>
      <c r="G28" s="249" t="str">
        <f t="shared" ca="1" si="1"/>
        <v>okt</v>
      </c>
      <c r="H28" s="3"/>
      <c r="I28" s="41">
        <f t="shared" si="40"/>
        <v>0</v>
      </c>
      <c r="J28" s="259"/>
      <c r="K28" s="2"/>
      <c r="L28" s="41">
        <f t="shared" si="2"/>
        <v>0</v>
      </c>
      <c r="M28" s="259"/>
      <c r="N28" s="2"/>
      <c r="O28" s="41">
        <f t="shared" si="3"/>
        <v>0</v>
      </c>
      <c r="P28" s="259"/>
      <c r="Q28" s="42"/>
      <c r="R28" s="42"/>
      <c r="S28" s="42"/>
      <c r="T28" s="42"/>
      <c r="U28" s="42"/>
      <c r="V28" s="42"/>
      <c r="Y28" s="164">
        <f t="shared" si="4"/>
        <v>0</v>
      </c>
      <c r="Z28" s="164">
        <f t="shared" si="5"/>
        <v>0</v>
      </c>
      <c r="AA28" s="164">
        <f t="shared" si="6"/>
        <v>0</v>
      </c>
      <c r="AB28" s="164">
        <f t="shared" si="7"/>
        <v>0</v>
      </c>
      <c r="AC28" s="164">
        <f t="shared" si="8"/>
        <v>0</v>
      </c>
      <c r="AD28" s="163">
        <f t="shared" si="9"/>
        <v>0</v>
      </c>
      <c r="AE28" s="236"/>
      <c r="AG28" s="164">
        <f t="shared" si="41"/>
        <v>0</v>
      </c>
      <c r="AH28" s="164">
        <f t="shared" si="10"/>
        <v>0</v>
      </c>
      <c r="AI28" s="164">
        <f t="shared" si="10"/>
        <v>0</v>
      </c>
      <c r="AJ28" s="164">
        <f t="shared" si="10"/>
        <v>0</v>
      </c>
      <c r="AK28" s="164">
        <f t="shared" si="10"/>
        <v>0</v>
      </c>
      <c r="AL28" s="163">
        <f t="shared" si="11"/>
        <v>0</v>
      </c>
      <c r="AM28" s="129"/>
      <c r="AN28" s="163">
        <f t="shared" si="42"/>
        <v>0</v>
      </c>
      <c r="AO28" s="163">
        <f t="shared" si="43"/>
        <v>0</v>
      </c>
      <c r="AP28" s="163">
        <f t="shared" si="44"/>
        <v>0</v>
      </c>
      <c r="AQ28" s="163">
        <f t="shared" si="45"/>
        <v>0</v>
      </c>
      <c r="AR28" s="163">
        <f t="shared" si="46"/>
        <v>0</v>
      </c>
      <c r="AS28" s="163">
        <f t="shared" si="47"/>
        <v>0</v>
      </c>
      <c r="AT28" s="163">
        <f t="shared" si="48"/>
        <v>0</v>
      </c>
      <c r="AU28" s="132">
        <f t="shared" si="49"/>
        <v>0</v>
      </c>
      <c r="AV28" s="237" t="str">
        <f t="shared" si="50"/>
        <v/>
      </c>
      <c r="AW28" s="163">
        <f t="shared" si="51"/>
        <v>0</v>
      </c>
      <c r="AX28" s="237" t="str">
        <f t="shared" si="52"/>
        <v/>
      </c>
      <c r="AY28" s="22"/>
      <c r="AZ28" s="43">
        <f t="shared" si="12"/>
        <v>0</v>
      </c>
      <c r="BA28" s="43">
        <f t="shared" si="13"/>
        <v>0</v>
      </c>
      <c r="BB28" s="43">
        <f t="shared" si="14"/>
        <v>0</v>
      </c>
      <c r="BC28" s="43">
        <f t="shared" si="15"/>
        <v>0</v>
      </c>
      <c r="BD28" s="43">
        <f t="shared" si="16"/>
        <v>0</v>
      </c>
      <c r="BE28" s="30">
        <f t="shared" si="53"/>
        <v>0</v>
      </c>
      <c r="BF28" s="22"/>
      <c r="BH28" s="22" t="str">
        <f t="shared" ca="1" si="17"/>
        <v>aug</v>
      </c>
      <c r="BI28" s="44">
        <f t="shared" ca="1" si="18"/>
        <v>8</v>
      </c>
      <c r="BJ28" s="44">
        <f t="shared" ca="1" si="19"/>
        <v>0</v>
      </c>
      <c r="BK28" s="44">
        <f t="shared" ca="1" si="20"/>
        <v>0</v>
      </c>
      <c r="BL28" s="45" t="str">
        <f t="shared" ca="1" si="21"/>
        <v>okt</v>
      </c>
      <c r="BM28" s="45">
        <f t="shared" ca="1" si="54"/>
        <v>0</v>
      </c>
      <c r="BN28" s="43">
        <f t="shared" ca="1" si="55"/>
        <v>0</v>
      </c>
      <c r="BO28" s="43">
        <f t="shared" ca="1" si="22"/>
        <v>0</v>
      </c>
      <c r="BP28" s="43">
        <f t="shared" ca="1" si="22"/>
        <v>0</v>
      </c>
      <c r="BQ28" s="43">
        <f t="shared" ca="1" si="22"/>
        <v>0</v>
      </c>
      <c r="BR28" s="43">
        <f t="shared" ca="1" si="22"/>
        <v>0</v>
      </c>
      <c r="BS28" s="30">
        <f t="shared" ca="1" si="56"/>
        <v>0</v>
      </c>
      <c r="BT28" s="46">
        <f t="shared" ca="1" si="23"/>
        <v>0</v>
      </c>
      <c r="BU28" s="46">
        <f t="shared" ca="1" si="24"/>
        <v>0</v>
      </c>
      <c r="BV28" s="46">
        <f t="shared" ca="1" si="25"/>
        <v>0</v>
      </c>
      <c r="BW28" s="46">
        <f t="shared" ca="1" si="26"/>
        <v>0</v>
      </c>
      <c r="BX28" s="46">
        <f t="shared" ca="1" si="27"/>
        <v>0</v>
      </c>
      <c r="BY28" s="46"/>
      <c r="BZ28" s="45" t="str">
        <f t="shared" ca="1" si="57"/>
        <v>okt</v>
      </c>
      <c r="CA28" s="45">
        <f t="shared" ca="1" si="57"/>
        <v>0</v>
      </c>
      <c r="CB28" s="43">
        <f t="shared" ca="1" si="28"/>
        <v>0</v>
      </c>
      <c r="CC28" s="43">
        <f t="shared" ca="1" si="29"/>
        <v>0</v>
      </c>
      <c r="CD28" s="43">
        <f t="shared" ca="1" si="30"/>
        <v>0</v>
      </c>
      <c r="CE28" s="43">
        <f t="shared" ca="1" si="31"/>
        <v>0</v>
      </c>
      <c r="CF28" s="43">
        <f t="shared" ca="1" si="32"/>
        <v>0</v>
      </c>
      <c r="CG28" s="30">
        <f t="shared" ca="1" si="58"/>
        <v>0</v>
      </c>
      <c r="CI28" s="24"/>
      <c r="CJ28" s="30">
        <f t="shared" ca="1" si="33"/>
        <v>0</v>
      </c>
      <c r="CK28" s="30">
        <f t="shared" ca="1" si="34"/>
        <v>0</v>
      </c>
      <c r="CL28" s="30">
        <f t="shared" ca="1" si="35"/>
        <v>0</v>
      </c>
      <c r="CM28" s="30">
        <f t="shared" ca="1" si="36"/>
        <v>0</v>
      </c>
      <c r="CN28" s="30">
        <f t="shared" ca="1" si="37"/>
        <v>0</v>
      </c>
      <c r="CO28" s="30">
        <f t="shared" ca="1" si="59"/>
        <v>0</v>
      </c>
      <c r="CP28" s="22"/>
      <c r="CQ28" s="32" t="str">
        <f t="shared" ca="1" si="38"/>
        <v>201910</v>
      </c>
      <c r="CR28" s="32">
        <f ca="1">MATCH('Mätvärden referensår'!CQ28,Normalår!$R$5:$R$200,0)-1</f>
        <v>57</v>
      </c>
      <c r="CS28" s="47">
        <f ca="1">OFFSET(Normalår!$S$5,CR28,0)</f>
        <v>1.0846147087250682</v>
      </c>
      <c r="CU28" s="43">
        <f t="shared" ca="1" si="60"/>
        <v>0</v>
      </c>
      <c r="CV28" s="43">
        <f t="shared" ca="1" si="61"/>
        <v>0</v>
      </c>
      <c r="CW28" s="43">
        <f t="shared" ca="1" si="62"/>
        <v>0</v>
      </c>
      <c r="CX28" s="43">
        <f t="shared" ca="1" si="63"/>
        <v>0</v>
      </c>
      <c r="CY28" s="43">
        <f t="shared" ca="1" si="64"/>
        <v>0</v>
      </c>
      <c r="CZ28" s="30">
        <f t="shared" ca="1" si="65"/>
        <v>0</v>
      </c>
      <c r="DB28" s="48"/>
      <c r="DD28" s="30">
        <f t="shared" ca="1" si="66"/>
        <v>0</v>
      </c>
      <c r="DE28" s="30">
        <f t="shared" ca="1" si="66"/>
        <v>0</v>
      </c>
      <c r="DF28" s="30">
        <f t="shared" ca="1" si="66"/>
        <v>0</v>
      </c>
      <c r="DG28" s="30">
        <f t="shared" ca="1" si="66"/>
        <v>0</v>
      </c>
      <c r="DH28" s="30">
        <f t="shared" ca="1" si="66"/>
        <v>0</v>
      </c>
      <c r="DI28" s="30">
        <f t="shared" ca="1" si="67"/>
        <v>0</v>
      </c>
      <c r="DM28" s="30">
        <f t="shared" ca="1" si="39"/>
        <v>0</v>
      </c>
      <c r="DN28" s="30">
        <f t="shared" ca="1" si="39"/>
        <v>0</v>
      </c>
      <c r="DO28" s="30">
        <f t="shared" ca="1" si="39"/>
        <v>0</v>
      </c>
      <c r="DP28" s="30">
        <f t="shared" ca="1" si="39"/>
        <v>0</v>
      </c>
      <c r="DQ28" s="30">
        <f t="shared" ca="1" si="39"/>
        <v>0</v>
      </c>
      <c r="DR28" s="30">
        <f t="shared" ca="1" si="68"/>
        <v>0</v>
      </c>
      <c r="EI28" s="162">
        <f>MATCH(EI27,EI3:EI14,0)</f>
        <v>1</v>
      </c>
      <c r="EJ28" s="162"/>
      <c r="EK28" s="162"/>
    </row>
    <row r="29" spans="1:156" ht="16.5" customHeight="1" x14ac:dyDescent="0.25">
      <c r="F29" s="249">
        <f t="shared" ca="1" si="69"/>
        <v>2019</v>
      </c>
      <c r="G29" s="249" t="str">
        <f t="shared" ca="1" si="1"/>
        <v>nov</v>
      </c>
      <c r="H29" s="3"/>
      <c r="I29" s="41">
        <f t="shared" si="40"/>
        <v>0</v>
      </c>
      <c r="J29" s="259"/>
      <c r="K29" s="2"/>
      <c r="L29" s="41">
        <f t="shared" si="2"/>
        <v>0</v>
      </c>
      <c r="M29" s="259"/>
      <c r="N29" s="2"/>
      <c r="O29" s="41">
        <f t="shared" si="3"/>
        <v>0</v>
      </c>
      <c r="P29" s="259"/>
      <c r="Q29" s="42"/>
      <c r="R29" s="42"/>
      <c r="S29" s="42"/>
      <c r="T29" s="42"/>
      <c r="U29" s="42"/>
      <c r="V29" s="42"/>
      <c r="Y29" s="164">
        <f t="shared" si="4"/>
        <v>0</v>
      </c>
      <c r="Z29" s="164">
        <f t="shared" si="5"/>
        <v>0</v>
      </c>
      <c r="AA29" s="164">
        <f t="shared" si="6"/>
        <v>0</v>
      </c>
      <c r="AB29" s="164">
        <f t="shared" si="7"/>
        <v>0</v>
      </c>
      <c r="AC29" s="164">
        <f t="shared" si="8"/>
        <v>0</v>
      </c>
      <c r="AD29" s="163">
        <f t="shared" si="9"/>
        <v>0</v>
      </c>
      <c r="AE29" s="236"/>
      <c r="AG29" s="164">
        <f t="shared" si="41"/>
        <v>0</v>
      </c>
      <c r="AH29" s="164">
        <f t="shared" si="10"/>
        <v>0</v>
      </c>
      <c r="AI29" s="164">
        <f t="shared" si="10"/>
        <v>0</v>
      </c>
      <c r="AJ29" s="164">
        <f t="shared" si="10"/>
        <v>0</v>
      </c>
      <c r="AK29" s="164">
        <f t="shared" si="10"/>
        <v>0</v>
      </c>
      <c r="AL29" s="163">
        <f t="shared" si="11"/>
        <v>0</v>
      </c>
      <c r="AM29" s="129"/>
      <c r="AN29" s="163">
        <f t="shared" si="42"/>
        <v>0</v>
      </c>
      <c r="AO29" s="163">
        <f t="shared" si="43"/>
        <v>0</v>
      </c>
      <c r="AP29" s="163">
        <f t="shared" si="44"/>
        <v>0</v>
      </c>
      <c r="AQ29" s="163">
        <f t="shared" si="45"/>
        <v>0</v>
      </c>
      <c r="AR29" s="163">
        <f t="shared" si="46"/>
        <v>0</v>
      </c>
      <c r="AS29" s="163">
        <f t="shared" si="47"/>
        <v>0</v>
      </c>
      <c r="AT29" s="163">
        <f t="shared" si="48"/>
        <v>0</v>
      </c>
      <c r="AU29" s="132">
        <f t="shared" si="49"/>
        <v>0</v>
      </c>
      <c r="AV29" s="237" t="str">
        <f t="shared" si="50"/>
        <v/>
      </c>
      <c r="AW29" s="163">
        <f t="shared" si="51"/>
        <v>0</v>
      </c>
      <c r="AX29" s="237" t="str">
        <f t="shared" si="52"/>
        <v/>
      </c>
      <c r="AY29" s="22"/>
      <c r="AZ29" s="43">
        <f t="shared" si="12"/>
        <v>0</v>
      </c>
      <c r="BA29" s="43">
        <f t="shared" si="13"/>
        <v>0</v>
      </c>
      <c r="BB29" s="43">
        <f t="shared" si="14"/>
        <v>0</v>
      </c>
      <c r="BC29" s="43">
        <f t="shared" si="15"/>
        <v>0</v>
      </c>
      <c r="BD29" s="43">
        <f t="shared" si="16"/>
        <v>0</v>
      </c>
      <c r="BE29" s="30">
        <f t="shared" si="53"/>
        <v>0</v>
      </c>
      <c r="BF29" s="22"/>
      <c r="BH29" s="22" t="str">
        <f t="shared" ca="1" si="17"/>
        <v>sept</v>
      </c>
      <c r="BI29" s="44">
        <f t="shared" ca="1" si="18"/>
        <v>9</v>
      </c>
      <c r="BJ29" s="44">
        <f t="shared" ca="1" si="19"/>
        <v>0</v>
      </c>
      <c r="BK29" s="44">
        <f t="shared" ca="1" si="20"/>
        <v>0</v>
      </c>
      <c r="BL29" s="45" t="str">
        <f t="shared" ca="1" si="21"/>
        <v>nov</v>
      </c>
      <c r="BM29" s="45">
        <f t="shared" ca="1" si="54"/>
        <v>1</v>
      </c>
      <c r="BN29" s="43">
        <f t="shared" ca="1" si="55"/>
        <v>0</v>
      </c>
      <c r="BO29" s="43">
        <f t="shared" ca="1" si="22"/>
        <v>0</v>
      </c>
      <c r="BP29" s="43">
        <f t="shared" ca="1" si="22"/>
        <v>0</v>
      </c>
      <c r="BQ29" s="43">
        <f t="shared" ca="1" si="22"/>
        <v>0</v>
      </c>
      <c r="BR29" s="43">
        <f t="shared" ca="1" si="22"/>
        <v>0</v>
      </c>
      <c r="BS29" s="30">
        <f t="shared" ca="1" si="56"/>
        <v>0</v>
      </c>
      <c r="BT29" s="46">
        <f t="shared" ca="1" si="23"/>
        <v>0</v>
      </c>
      <c r="BU29" s="46">
        <f t="shared" ca="1" si="24"/>
        <v>0</v>
      </c>
      <c r="BV29" s="46">
        <f t="shared" ca="1" si="25"/>
        <v>0</v>
      </c>
      <c r="BW29" s="46">
        <f t="shared" ca="1" si="26"/>
        <v>0</v>
      </c>
      <c r="BX29" s="46">
        <f t="shared" ca="1" si="27"/>
        <v>0</v>
      </c>
      <c r="BY29" s="46"/>
      <c r="BZ29" s="45" t="str">
        <f t="shared" ca="1" si="57"/>
        <v>nov</v>
      </c>
      <c r="CA29" s="45">
        <f t="shared" ca="1" si="57"/>
        <v>1</v>
      </c>
      <c r="CB29" s="43">
        <f t="shared" ca="1" si="28"/>
        <v>0</v>
      </c>
      <c r="CC29" s="43">
        <f t="shared" ca="1" si="29"/>
        <v>0</v>
      </c>
      <c r="CD29" s="43">
        <f t="shared" ca="1" si="30"/>
        <v>0</v>
      </c>
      <c r="CE29" s="43">
        <f t="shared" ca="1" si="31"/>
        <v>0</v>
      </c>
      <c r="CF29" s="43">
        <f t="shared" ca="1" si="32"/>
        <v>0</v>
      </c>
      <c r="CG29" s="30">
        <f t="shared" ca="1" si="58"/>
        <v>0</v>
      </c>
      <c r="CI29" s="24"/>
      <c r="CJ29" s="30">
        <f t="shared" ca="1" si="33"/>
        <v>0</v>
      </c>
      <c r="CK29" s="30">
        <f t="shared" ca="1" si="34"/>
        <v>0</v>
      </c>
      <c r="CL29" s="30">
        <f t="shared" ca="1" si="35"/>
        <v>0</v>
      </c>
      <c r="CM29" s="30">
        <f t="shared" ca="1" si="36"/>
        <v>0</v>
      </c>
      <c r="CN29" s="30">
        <f t="shared" ca="1" si="37"/>
        <v>0</v>
      </c>
      <c r="CO29" s="30">
        <f t="shared" ca="1" si="59"/>
        <v>0</v>
      </c>
      <c r="CP29" s="22"/>
      <c r="CQ29" s="32" t="str">
        <f t="shared" ca="1" si="38"/>
        <v>201911</v>
      </c>
      <c r="CR29" s="32">
        <f ca="1">MATCH('Mätvärden referensår'!CQ29,Normalår!$R$5:$R$200,0)-1</f>
        <v>58</v>
      </c>
      <c r="CS29" s="47">
        <f ca="1">OFFSET(Normalår!$S$5,CR29,0)</f>
        <v>0.95931421035278608</v>
      </c>
      <c r="CU29" s="43">
        <f t="shared" ca="1" si="60"/>
        <v>0</v>
      </c>
      <c r="CV29" s="43">
        <f t="shared" ca="1" si="61"/>
        <v>0</v>
      </c>
      <c r="CW29" s="43">
        <f t="shared" ca="1" si="62"/>
        <v>0</v>
      </c>
      <c r="CX29" s="43">
        <f t="shared" ca="1" si="63"/>
        <v>0</v>
      </c>
      <c r="CY29" s="43">
        <f ca="1">CN29*CS29</f>
        <v>0</v>
      </c>
      <c r="CZ29" s="30">
        <f t="shared" ca="1" si="65"/>
        <v>0</v>
      </c>
      <c r="DB29" s="48"/>
      <c r="DD29" s="30">
        <f t="shared" ca="1" si="66"/>
        <v>0</v>
      </c>
      <c r="DE29" s="30">
        <f t="shared" ca="1" si="66"/>
        <v>0</v>
      </c>
      <c r="DF29" s="30">
        <f t="shared" ca="1" si="66"/>
        <v>0</v>
      </c>
      <c r="DG29" s="30">
        <f t="shared" ca="1" si="66"/>
        <v>0</v>
      </c>
      <c r="DH29" s="30">
        <f t="shared" ca="1" si="66"/>
        <v>0</v>
      </c>
      <c r="DI29" s="30">
        <f t="shared" ca="1" si="67"/>
        <v>0</v>
      </c>
      <c r="DM29" s="30">
        <f t="shared" ca="1" si="39"/>
        <v>0</v>
      </c>
      <c r="DN29" s="30">
        <f t="shared" ca="1" si="39"/>
        <v>0</v>
      </c>
      <c r="DO29" s="30">
        <f t="shared" ca="1" si="39"/>
        <v>0</v>
      </c>
      <c r="DP29" s="30">
        <f t="shared" ca="1" si="39"/>
        <v>0</v>
      </c>
      <c r="DQ29" s="30">
        <f t="shared" ca="1" si="39"/>
        <v>0</v>
      </c>
      <c r="DR29" s="30">
        <f t="shared" ca="1" si="68"/>
        <v>0</v>
      </c>
    </row>
    <row r="30" spans="1:156" ht="16.5" customHeight="1" thickBot="1" x14ac:dyDescent="0.3">
      <c r="F30" s="249">
        <f t="shared" ca="1" si="69"/>
        <v>2019</v>
      </c>
      <c r="G30" s="249" t="str">
        <f t="shared" ca="1" si="1"/>
        <v>dec</v>
      </c>
      <c r="H30" s="3"/>
      <c r="I30" s="41">
        <f t="shared" si="40"/>
        <v>0</v>
      </c>
      <c r="J30" s="259"/>
      <c r="K30" s="2"/>
      <c r="L30" s="41">
        <f t="shared" si="2"/>
        <v>0</v>
      </c>
      <c r="M30" s="259"/>
      <c r="N30" s="2"/>
      <c r="O30" s="41">
        <f t="shared" si="3"/>
        <v>0</v>
      </c>
      <c r="P30" s="259"/>
      <c r="Q30" s="42"/>
      <c r="R30" s="42"/>
      <c r="S30" s="42"/>
      <c r="T30" s="42"/>
      <c r="U30" s="42"/>
      <c r="V30" s="42"/>
      <c r="Y30" s="165">
        <f t="shared" si="4"/>
        <v>0</v>
      </c>
      <c r="Z30" s="165">
        <f t="shared" si="5"/>
        <v>0</v>
      </c>
      <c r="AA30" s="165">
        <f t="shared" si="6"/>
        <v>0</v>
      </c>
      <c r="AB30" s="165">
        <f t="shared" si="7"/>
        <v>0</v>
      </c>
      <c r="AC30" s="165">
        <f t="shared" si="8"/>
        <v>0</v>
      </c>
      <c r="AD30" s="166">
        <f t="shared" si="9"/>
        <v>0</v>
      </c>
      <c r="AE30" s="236"/>
      <c r="AG30" s="165">
        <f t="shared" si="41"/>
        <v>0</v>
      </c>
      <c r="AH30" s="165">
        <f t="shared" si="10"/>
        <v>0</v>
      </c>
      <c r="AI30" s="165">
        <f t="shared" si="10"/>
        <v>0</v>
      </c>
      <c r="AJ30" s="165">
        <f t="shared" si="10"/>
        <v>0</v>
      </c>
      <c r="AK30" s="165">
        <f t="shared" si="10"/>
        <v>0</v>
      </c>
      <c r="AL30" s="166">
        <f t="shared" si="11"/>
        <v>0</v>
      </c>
      <c r="AM30" s="129"/>
      <c r="AN30" s="166">
        <f t="shared" si="42"/>
        <v>0</v>
      </c>
      <c r="AO30" s="166">
        <f t="shared" si="43"/>
        <v>0</v>
      </c>
      <c r="AP30" s="166">
        <f t="shared" si="44"/>
        <v>0</v>
      </c>
      <c r="AQ30" s="166">
        <f t="shared" si="45"/>
        <v>0</v>
      </c>
      <c r="AR30" s="166">
        <f t="shared" si="46"/>
        <v>0</v>
      </c>
      <c r="AS30" s="166">
        <f t="shared" si="47"/>
        <v>0</v>
      </c>
      <c r="AT30" s="166">
        <f t="shared" si="48"/>
        <v>0</v>
      </c>
      <c r="AU30" s="133">
        <f t="shared" si="49"/>
        <v>0</v>
      </c>
      <c r="AV30" s="237" t="str">
        <f>IF(AT30&lt;0,"Fel i indata","")</f>
        <v/>
      </c>
      <c r="AW30" s="163">
        <f t="shared" si="51"/>
        <v>0</v>
      </c>
      <c r="AX30" s="237" t="str">
        <f t="shared" si="52"/>
        <v/>
      </c>
      <c r="AY30" s="22"/>
      <c r="AZ30" s="49">
        <f t="shared" si="12"/>
        <v>0</v>
      </c>
      <c r="BA30" s="49">
        <f t="shared" si="13"/>
        <v>0</v>
      </c>
      <c r="BB30" s="49">
        <f t="shared" si="14"/>
        <v>0</v>
      </c>
      <c r="BC30" s="49">
        <f t="shared" si="15"/>
        <v>0</v>
      </c>
      <c r="BD30" s="49">
        <f t="shared" si="16"/>
        <v>0</v>
      </c>
      <c r="BE30" s="50">
        <f t="shared" si="53"/>
        <v>0</v>
      </c>
      <c r="BF30" s="22"/>
      <c r="BH30" s="22" t="str">
        <f t="shared" ca="1" si="17"/>
        <v>okt</v>
      </c>
      <c r="BI30" s="44">
        <f t="shared" ca="1" si="18"/>
        <v>10</v>
      </c>
      <c r="BJ30" s="44">
        <f t="shared" ca="1" si="19"/>
        <v>0</v>
      </c>
      <c r="BK30" s="44">
        <f t="shared" ca="1" si="20"/>
        <v>0</v>
      </c>
      <c r="BL30" s="45" t="str">
        <f t="shared" ca="1" si="21"/>
        <v>dec</v>
      </c>
      <c r="BM30" s="45">
        <f t="shared" ca="1" si="54"/>
        <v>1</v>
      </c>
      <c r="BN30" s="49">
        <f t="shared" ca="1" si="55"/>
        <v>0</v>
      </c>
      <c r="BO30" s="49">
        <f t="shared" ca="1" si="22"/>
        <v>0</v>
      </c>
      <c r="BP30" s="49">
        <f t="shared" ca="1" si="22"/>
        <v>0</v>
      </c>
      <c r="BQ30" s="49">
        <f t="shared" ca="1" si="22"/>
        <v>0</v>
      </c>
      <c r="BR30" s="49">
        <f t="shared" ca="1" si="22"/>
        <v>0</v>
      </c>
      <c r="BS30" s="50">
        <f t="shared" ca="1" si="56"/>
        <v>0</v>
      </c>
      <c r="BT30" s="46">
        <f t="shared" ca="1" si="23"/>
        <v>0</v>
      </c>
      <c r="BU30" s="46">
        <f t="shared" ca="1" si="24"/>
        <v>0</v>
      </c>
      <c r="BV30" s="46">
        <f t="shared" ca="1" si="25"/>
        <v>0</v>
      </c>
      <c r="BW30" s="46">
        <f t="shared" ca="1" si="26"/>
        <v>0</v>
      </c>
      <c r="BX30" s="46">
        <f t="shared" ca="1" si="27"/>
        <v>0</v>
      </c>
      <c r="BY30" s="46"/>
      <c r="BZ30" s="45" t="str">
        <f t="shared" ca="1" si="57"/>
        <v>dec</v>
      </c>
      <c r="CA30" s="45">
        <f t="shared" ca="1" si="57"/>
        <v>1</v>
      </c>
      <c r="CB30" s="49">
        <f t="shared" ca="1" si="28"/>
        <v>0</v>
      </c>
      <c r="CC30" s="49">
        <f t="shared" ca="1" si="29"/>
        <v>0</v>
      </c>
      <c r="CD30" s="49">
        <f t="shared" ca="1" si="30"/>
        <v>0</v>
      </c>
      <c r="CE30" s="49">
        <f t="shared" ca="1" si="31"/>
        <v>0</v>
      </c>
      <c r="CF30" s="49">
        <f t="shared" ca="1" si="32"/>
        <v>0</v>
      </c>
      <c r="CG30" s="50">
        <f t="shared" ca="1" si="58"/>
        <v>0</v>
      </c>
      <c r="CI30" s="24"/>
      <c r="CJ30" s="50">
        <f t="shared" ca="1" si="33"/>
        <v>0</v>
      </c>
      <c r="CK30" s="50">
        <f t="shared" ca="1" si="34"/>
        <v>0</v>
      </c>
      <c r="CL30" s="50">
        <f t="shared" ca="1" si="35"/>
        <v>0</v>
      </c>
      <c r="CM30" s="50">
        <f t="shared" ca="1" si="36"/>
        <v>0</v>
      </c>
      <c r="CN30" s="50">
        <f t="shared" ca="1" si="37"/>
        <v>0</v>
      </c>
      <c r="CO30" s="50">
        <f t="shared" ca="1" si="59"/>
        <v>0</v>
      </c>
      <c r="CP30" s="22"/>
      <c r="CQ30" s="32" t="str">
        <f t="shared" ca="1" si="38"/>
        <v>201912</v>
      </c>
      <c r="CR30" s="32">
        <f ca="1">MATCH('Mätvärden referensår'!CQ30,Normalår!$R$5:$R$200,0)-1</f>
        <v>59</v>
      </c>
      <c r="CS30" s="47">
        <f ca="1">OFFSET(Normalår!$S$5,CR30,0)</f>
        <v>1.1028582797267723</v>
      </c>
      <c r="CU30" s="49">
        <f t="shared" ca="1" si="60"/>
        <v>0</v>
      </c>
      <c r="CV30" s="49">
        <f t="shared" ca="1" si="61"/>
        <v>0</v>
      </c>
      <c r="CW30" s="49">
        <f t="shared" ca="1" si="62"/>
        <v>0</v>
      </c>
      <c r="CX30" s="49">
        <f t="shared" ca="1" si="63"/>
        <v>0</v>
      </c>
      <c r="CY30" s="49">
        <f ca="1">CN30*CS30</f>
        <v>0</v>
      </c>
      <c r="CZ30" s="50">
        <f t="shared" ca="1" si="65"/>
        <v>0</v>
      </c>
      <c r="DB30" s="48"/>
      <c r="DD30" s="50">
        <f t="shared" ca="1" si="66"/>
        <v>0</v>
      </c>
      <c r="DE30" s="50">
        <f t="shared" ca="1" si="66"/>
        <v>0</v>
      </c>
      <c r="DF30" s="50">
        <f t="shared" ca="1" si="66"/>
        <v>0</v>
      </c>
      <c r="DG30" s="50">
        <f t="shared" ca="1" si="66"/>
        <v>0</v>
      </c>
      <c r="DH30" s="50">
        <f t="shared" ca="1" si="66"/>
        <v>0</v>
      </c>
      <c r="DI30" s="50">
        <f t="shared" ca="1" si="67"/>
        <v>0</v>
      </c>
      <c r="DM30" s="50">
        <f t="shared" ca="1" si="39"/>
        <v>0</v>
      </c>
      <c r="DN30" s="50">
        <f t="shared" ca="1" si="39"/>
        <v>0</v>
      </c>
      <c r="DO30" s="50">
        <f t="shared" ca="1" si="39"/>
        <v>0</v>
      </c>
      <c r="DP30" s="50">
        <f t="shared" ca="1" si="39"/>
        <v>0</v>
      </c>
      <c r="DQ30" s="50">
        <f t="shared" ca="1" si="39"/>
        <v>0</v>
      </c>
      <c r="DR30" s="50">
        <f t="shared" ca="1" si="68"/>
        <v>0</v>
      </c>
    </row>
    <row r="31" spans="1:156" ht="16.5" customHeight="1" thickTop="1" x14ac:dyDescent="0.25">
      <c r="G31" s="3"/>
      <c r="H31" s="3"/>
      <c r="I31" s="51">
        <f>SUM(I19:I30)</f>
        <v>0</v>
      </c>
      <c r="J31" s="51">
        <f>SUM(J19:J30)</f>
        <v>0</v>
      </c>
      <c r="K31" s="3"/>
      <c r="L31" s="51">
        <f>SUM(L19:L30)</f>
        <v>0</v>
      </c>
      <c r="M31" s="51">
        <f>SUM(M19:M30)</f>
        <v>0</v>
      </c>
      <c r="O31" s="51">
        <f>SUM(O19:O30)</f>
        <v>0</v>
      </c>
      <c r="P31" s="51">
        <f>SUM(P19:P30)</f>
        <v>0</v>
      </c>
      <c r="X31" s="110" t="s">
        <v>1295</v>
      </c>
      <c r="Y31" s="167">
        <f t="shared" ref="Y31:AD31" si="70">SUM(Y19:Y30)</f>
        <v>0</v>
      </c>
      <c r="Z31" s="167">
        <f t="shared" si="70"/>
        <v>0</v>
      </c>
      <c r="AA31" s="168">
        <f t="shared" si="70"/>
        <v>0</v>
      </c>
      <c r="AB31" s="168">
        <f t="shared" si="70"/>
        <v>0</v>
      </c>
      <c r="AC31" s="168">
        <f t="shared" si="70"/>
        <v>0</v>
      </c>
      <c r="AD31" s="167">
        <f t="shared" si="70"/>
        <v>0</v>
      </c>
      <c r="AE31" s="236"/>
      <c r="AF31" s="110" t="s">
        <v>1295</v>
      </c>
      <c r="AG31" s="167">
        <f t="shared" ref="AG31:AL31" si="71">SUM(AG19:AG30)</f>
        <v>0</v>
      </c>
      <c r="AH31" s="167">
        <f t="shared" si="71"/>
        <v>0</v>
      </c>
      <c r="AI31" s="168">
        <f t="shared" si="71"/>
        <v>0</v>
      </c>
      <c r="AJ31" s="168">
        <f t="shared" si="71"/>
        <v>0</v>
      </c>
      <c r="AK31" s="168">
        <f t="shared" si="71"/>
        <v>0</v>
      </c>
      <c r="AL31" s="167">
        <f t="shared" si="71"/>
        <v>0</v>
      </c>
      <c r="AM31" s="129"/>
      <c r="AN31" s="167">
        <f t="shared" ref="AN31:AU31" si="72">SUM(AN19:AN30)</f>
        <v>0</v>
      </c>
      <c r="AO31" s="167">
        <f t="shared" si="72"/>
        <v>0</v>
      </c>
      <c r="AP31" s="167">
        <f t="shared" si="72"/>
        <v>0</v>
      </c>
      <c r="AQ31" s="167">
        <f t="shared" si="72"/>
        <v>0</v>
      </c>
      <c r="AR31" s="167">
        <f t="shared" si="72"/>
        <v>0</v>
      </c>
      <c r="AS31" s="167">
        <f t="shared" si="72"/>
        <v>0</v>
      </c>
      <c r="AT31" s="167">
        <f t="shared" si="72"/>
        <v>0</v>
      </c>
      <c r="AU31" s="167">
        <f t="shared" si="72"/>
        <v>0</v>
      </c>
      <c r="AW31" s="167">
        <f>SUM(AW19:AW30)</f>
        <v>0</v>
      </c>
      <c r="AY31" s="24" t="s">
        <v>1295</v>
      </c>
      <c r="AZ31" s="52">
        <f t="shared" ref="AZ31:BE31" si="73">SUM(AZ19:AZ30)</f>
        <v>0</v>
      </c>
      <c r="BA31" s="52">
        <f t="shared" si="73"/>
        <v>0</v>
      </c>
      <c r="BB31" s="52">
        <f t="shared" si="73"/>
        <v>0</v>
      </c>
      <c r="BC31" s="52">
        <f t="shared" si="73"/>
        <v>0</v>
      </c>
      <c r="BD31" s="53">
        <f t="shared" si="73"/>
        <v>0</v>
      </c>
      <c r="BE31" s="52">
        <f t="shared" si="73"/>
        <v>0</v>
      </c>
      <c r="BF31" s="22"/>
      <c r="BG31" s="22"/>
      <c r="BH31" s="22"/>
      <c r="BI31" s="22"/>
      <c r="BJ31" s="22"/>
      <c r="BK31" s="44">
        <f ca="1">SUM(BK19:BK30)</f>
        <v>2880</v>
      </c>
      <c r="BM31" s="24" t="s">
        <v>1295</v>
      </c>
      <c r="BN31" s="54">
        <f t="shared" ref="BN31:BS31" ca="1" si="74">SUM(BN19:BN30)</f>
        <v>0</v>
      </c>
      <c r="BO31" s="54">
        <f t="shared" ca="1" si="74"/>
        <v>0</v>
      </c>
      <c r="BP31" s="54">
        <f t="shared" ca="1" si="74"/>
        <v>0</v>
      </c>
      <c r="BQ31" s="53">
        <f t="shared" ca="1" si="74"/>
        <v>0</v>
      </c>
      <c r="BR31" s="53">
        <f t="shared" ca="1" si="74"/>
        <v>0</v>
      </c>
      <c r="BS31" s="54">
        <f t="shared" ca="1" si="74"/>
        <v>0</v>
      </c>
      <c r="BT31" s="55"/>
      <c r="BU31" s="55"/>
      <c r="BV31" s="55"/>
      <c r="BW31" s="55"/>
      <c r="BX31" s="55"/>
      <c r="BY31" s="55"/>
      <c r="CA31" s="24" t="s">
        <v>1295</v>
      </c>
      <c r="CB31" s="54">
        <f t="shared" ref="CB31:CG31" ca="1" si="75">SUM(CB19:CB30)</f>
        <v>0</v>
      </c>
      <c r="CC31" s="54">
        <f t="shared" ca="1" si="75"/>
        <v>0</v>
      </c>
      <c r="CD31" s="54">
        <f t="shared" ca="1" si="75"/>
        <v>0</v>
      </c>
      <c r="CE31" s="54">
        <f t="shared" ca="1" si="75"/>
        <v>0</v>
      </c>
      <c r="CF31" s="54">
        <f t="shared" ca="1" si="75"/>
        <v>0</v>
      </c>
      <c r="CG31" s="54">
        <f t="shared" ca="1" si="75"/>
        <v>0</v>
      </c>
      <c r="CI31" s="24" t="s">
        <v>1295</v>
      </c>
      <c r="CJ31" s="52">
        <f t="shared" ref="CJ31:CO31" ca="1" si="76">SUM(CJ19:CJ30)</f>
        <v>0</v>
      </c>
      <c r="CK31" s="52">
        <f t="shared" ca="1" si="76"/>
        <v>0</v>
      </c>
      <c r="CL31" s="52">
        <f t="shared" ca="1" si="76"/>
        <v>0</v>
      </c>
      <c r="CM31" s="52">
        <f t="shared" ca="1" si="76"/>
        <v>0</v>
      </c>
      <c r="CN31" s="52">
        <f t="shared" ca="1" si="76"/>
        <v>0</v>
      </c>
      <c r="CO31" s="52">
        <f t="shared" ca="1" si="76"/>
        <v>0</v>
      </c>
      <c r="CP31" s="22"/>
      <c r="CQ31" s="22"/>
      <c r="CR31" s="22"/>
      <c r="CS31" s="22"/>
      <c r="CT31" s="24" t="s">
        <v>1295</v>
      </c>
      <c r="CU31" s="52">
        <f t="shared" ref="CU31:CZ31" ca="1" si="77">SUM(CU19:CU30)</f>
        <v>0</v>
      </c>
      <c r="CV31" s="52">
        <f t="shared" ca="1" si="77"/>
        <v>0</v>
      </c>
      <c r="CW31" s="52">
        <f t="shared" ca="1" si="77"/>
        <v>0</v>
      </c>
      <c r="CX31" s="52">
        <f t="shared" ca="1" si="77"/>
        <v>0</v>
      </c>
      <c r="CY31" s="52">
        <f t="shared" ca="1" si="77"/>
        <v>0</v>
      </c>
      <c r="CZ31" s="52">
        <f t="shared" ca="1" si="77"/>
        <v>0</v>
      </c>
      <c r="DB31" s="48"/>
      <c r="DC31" s="24" t="s">
        <v>1295</v>
      </c>
      <c r="DD31" s="56">
        <f t="shared" ref="DD31:DH31" ca="1" si="78">SUM(DD19:DD30)</f>
        <v>0</v>
      </c>
      <c r="DE31" s="56">
        <f t="shared" ca="1" si="78"/>
        <v>0</v>
      </c>
      <c r="DF31" s="56">
        <f t="shared" ca="1" si="78"/>
        <v>0</v>
      </c>
      <c r="DG31" s="56">
        <f t="shared" ca="1" si="78"/>
        <v>0</v>
      </c>
      <c r="DH31" s="56">
        <f t="shared" ca="1" si="78"/>
        <v>0</v>
      </c>
      <c r="DI31" s="56">
        <f ca="1">SUM(DI19:DI30)</f>
        <v>0</v>
      </c>
      <c r="DL31" s="24" t="s">
        <v>1295</v>
      </c>
      <c r="DM31" s="56">
        <f ca="1">SUM(DM19:DM30)</f>
        <v>0</v>
      </c>
      <c r="DN31" s="56">
        <f t="shared" ref="DN31:DQ31" ca="1" si="79">SUM(DN19:DN30)</f>
        <v>0</v>
      </c>
      <c r="DO31" s="56">
        <f t="shared" ca="1" si="79"/>
        <v>0</v>
      </c>
      <c r="DP31" s="56">
        <f t="shared" ca="1" si="79"/>
        <v>0</v>
      </c>
      <c r="DQ31" s="56">
        <f t="shared" ca="1" si="79"/>
        <v>0</v>
      </c>
      <c r="DR31" s="56">
        <f ca="1">SUM(DR19:DR30)</f>
        <v>0</v>
      </c>
      <c r="EI31" s="80" t="str">
        <f>G41</f>
        <v>jan</v>
      </c>
    </row>
    <row r="32" spans="1:156" ht="16.5" customHeight="1" x14ac:dyDescent="0.25">
      <c r="G32" s="3"/>
      <c r="H32" s="3"/>
      <c r="I32" s="51"/>
      <c r="J32" s="3"/>
      <c r="K32" s="3"/>
      <c r="L32" s="51"/>
      <c r="O32" s="51"/>
      <c r="X32" s="110" t="s">
        <v>1375</v>
      </c>
      <c r="Y32" s="167">
        <f>IF($J$14=$Y$18,$I$31*$J$15,0)+IF($M$14=$Y$18,$L$31*$M$15,0)+IF($P$14=$Y$18,$O$31*$P$15,0)</f>
        <v>0</v>
      </c>
      <c r="Z32" s="167">
        <f>IF(OR($J$14="El-panna",$J$14="Värmepump"),$I$31*$J$15,0)+IF(OR($M$14="El-panna",$M$14="Värmepump"),$L$31*$M$15,0)+IF(OR($P$14="El-panna",$P$14="Värmepump"),$O$31*$P$15,0)</f>
        <v>0</v>
      </c>
      <c r="AA32" s="168">
        <f>IF(OR($J$14="Flispanna",$J$14="Pelletspanna",$J$14="Vedpanna"),$I$31*$J$15,0)+IF(OR($M$14="Flispanna",$M$14="Pelletspanna",$M$14="Vedpanna"),$L$31*$M$15,0)+IF(OR($P$14="Flispanna",$P$14="Pelletspanna",$P$14="Vedpanna"),$O$31*$P$15,0)</f>
        <v>0</v>
      </c>
      <c r="AB32" s="168">
        <f>IF($J$14="Gaspanna",$I$31*$J$15,0)+IF(M14="Gaspanna",$L$31*$M$15,0)+IF(P14="Gaspanna",$O$31*$P$15,0)</f>
        <v>0</v>
      </c>
      <c r="AC32" s="168">
        <f>IF($J$14="Oljepanna",$I$31*$J$15,0)+IF($M$14="Oljepanna",$L$31*$M$15,0)+IF($P$14="Oljepanna",$O$31*$P$15,0)</f>
        <v>0</v>
      </c>
      <c r="AD32" s="167">
        <f>SUM(Y32:AC32)</f>
        <v>0</v>
      </c>
      <c r="AE32" s="236"/>
      <c r="AF32" s="110" t="s">
        <v>1375</v>
      </c>
      <c r="AG32" s="167">
        <f>Y32+AG78</f>
        <v>0</v>
      </c>
      <c r="AH32" s="167">
        <f t="shared" ref="AH32:AK32" si="80">Z32+AH78</f>
        <v>0</v>
      </c>
      <c r="AI32" s="167">
        <f t="shared" si="80"/>
        <v>0</v>
      </c>
      <c r="AJ32" s="167">
        <f t="shared" si="80"/>
        <v>0</v>
      </c>
      <c r="AK32" s="167">
        <f t="shared" si="80"/>
        <v>0</v>
      </c>
      <c r="AL32" s="167">
        <f>SUM(AG32:AK32)</f>
        <v>0</v>
      </c>
      <c r="AM32" s="104" t="s">
        <v>1311</v>
      </c>
      <c r="AN32" s="230">
        <f>IF(Y31&gt;0,AG32/AG31,0)</f>
        <v>0</v>
      </c>
      <c r="AO32" s="230">
        <f t="shared" ref="AO32:AR32" si="81">IF(Z31&gt;0,AH32/AH31,0)</f>
        <v>0</v>
      </c>
      <c r="AP32" s="230">
        <f t="shared" si="81"/>
        <v>0</v>
      </c>
      <c r="AQ32" s="230">
        <f t="shared" si="81"/>
        <v>0</v>
      </c>
      <c r="AR32" s="230">
        <f t="shared" si="81"/>
        <v>0</v>
      </c>
      <c r="AS32" s="162"/>
      <c r="AT32" s="162"/>
      <c r="AW32" s="162"/>
      <c r="AY32" s="22"/>
      <c r="AZ32" s="22"/>
      <c r="BA32" s="22"/>
      <c r="BB32" s="22"/>
      <c r="BC32" s="22"/>
      <c r="BD32" s="22"/>
      <c r="BE32" s="22"/>
      <c r="BF32" s="22"/>
      <c r="BG32" s="22"/>
      <c r="BH32" s="22"/>
      <c r="BI32" s="22"/>
      <c r="BJ32" s="22"/>
      <c r="BK32" s="22"/>
      <c r="BM32" s="24" t="s">
        <v>1108</v>
      </c>
      <c r="BN32" s="47">
        <f ca="1">IF($BS$31&gt;0,BN31/$BS$31,0)</f>
        <v>0</v>
      </c>
      <c r="BO32" s="47">
        <f t="shared" ref="BO32:BR32" ca="1" si="82">IF($BS$31&gt;0,BO31/$BS$31,0)</f>
        <v>0</v>
      </c>
      <c r="BP32" s="47">
        <f t="shared" ca="1" si="82"/>
        <v>0</v>
      </c>
      <c r="BQ32" s="47">
        <f t="shared" ca="1" si="82"/>
        <v>0</v>
      </c>
      <c r="BR32" s="47">
        <f t="shared" ca="1" si="82"/>
        <v>0</v>
      </c>
      <c r="CA32" s="24" t="s">
        <v>1108</v>
      </c>
      <c r="CB32" s="47">
        <f ca="1">IF($CG$31&gt;0,CB31/$CG$31,0)</f>
        <v>0</v>
      </c>
      <c r="CC32" s="47">
        <f t="shared" ref="CC32:CF32" ca="1" si="83">IF($CG$31&gt;0,CC31/$CG$31,0)</f>
        <v>0</v>
      </c>
      <c r="CD32" s="47">
        <f t="shared" ca="1" si="83"/>
        <v>0</v>
      </c>
      <c r="CE32" s="47">
        <f t="shared" ca="1" si="83"/>
        <v>0</v>
      </c>
      <c r="CF32" s="47">
        <f t="shared" ca="1" si="83"/>
        <v>0</v>
      </c>
      <c r="CH32" s="57" t="s">
        <v>1184</v>
      </c>
      <c r="CI32" s="24" t="s">
        <v>1108</v>
      </c>
      <c r="CJ32" s="47">
        <f ca="1">IF($CO$31&gt;0,CJ31/$CO$31,0)</f>
        <v>0</v>
      </c>
      <c r="CK32" s="47">
        <f t="shared" ref="CK32:CN32" ca="1" si="84">IF($CO$31&gt;0,CK31/$CO$31,0)</f>
        <v>0</v>
      </c>
      <c r="CL32" s="47">
        <f t="shared" ca="1" si="84"/>
        <v>0</v>
      </c>
      <c r="CM32" s="47">
        <f t="shared" ca="1" si="84"/>
        <v>0</v>
      </c>
      <c r="CN32" s="47">
        <f t="shared" ca="1" si="84"/>
        <v>0</v>
      </c>
      <c r="CP32" s="57" t="s">
        <v>1184</v>
      </c>
      <c r="CQ32" s="22"/>
      <c r="CR32" s="22"/>
      <c r="CS32" s="22"/>
      <c r="CT32" s="24" t="s">
        <v>1108</v>
      </c>
      <c r="CU32" s="47">
        <f ca="1">IF($CZ$31&gt;0,CU31/$CZ$31,0)</f>
        <v>0</v>
      </c>
      <c r="CV32" s="47">
        <f t="shared" ref="CV32:CX32" ca="1" si="85">IF($CZ$31&gt;0,CV31/$CZ$31,0)</f>
        <v>0</v>
      </c>
      <c r="CW32" s="47">
        <f t="shared" ca="1" si="85"/>
        <v>0</v>
      </c>
      <c r="CX32" s="47">
        <f t="shared" ca="1" si="85"/>
        <v>0</v>
      </c>
      <c r="CY32" s="47">
        <f ca="1">IF($CZ$31&gt;0,CY31/$CZ$31,0)</f>
        <v>0</v>
      </c>
      <c r="DB32" s="22"/>
      <c r="DC32" s="24" t="s">
        <v>1375</v>
      </c>
      <c r="DD32" s="30">
        <f ca="1">IF(DD31&gt;0,DD31*(Y32/Y31),0)</f>
        <v>0</v>
      </c>
      <c r="DE32" s="30">
        <f ca="1">IF(DE31&gt;0,DE31*(Z32/Z31),0)</f>
        <v>0</v>
      </c>
      <c r="DF32" s="30">
        <f ca="1">IF(DF31&gt;0,DF31*(AA32/AA31),0)</f>
        <v>0</v>
      </c>
      <c r="DG32" s="30">
        <f ca="1">IF(DG31&gt;0,DG31*(AB32/AB31),0)</f>
        <v>0</v>
      </c>
      <c r="DH32" s="30">
        <f ca="1">IF(DH31&gt;0,DH31*(AC32/AC31),0)</f>
        <v>0</v>
      </c>
      <c r="DI32" s="30">
        <f ca="1">SUM(DD32:DH32)</f>
        <v>0</v>
      </c>
      <c r="DL32" s="24" t="s">
        <v>1375</v>
      </c>
      <c r="DM32" s="30">
        <f ca="1">IF(DM31&gt;0,DM31*(Y32/Y31),0)</f>
        <v>0</v>
      </c>
      <c r="DN32" s="30">
        <f ca="1">IF(DN31&gt;0,DN31*(Z32/Z31),0)</f>
        <v>0</v>
      </c>
      <c r="DO32" s="30">
        <f ca="1">IF(DO31&gt;0,DO31*(AA32/AA31),0)</f>
        <v>0</v>
      </c>
      <c r="DP32" s="30">
        <f ca="1">IF(DP31&gt;0,DP31*(AB32/AB31),0)</f>
        <v>0</v>
      </c>
      <c r="DQ32" s="30">
        <f ca="1">IF(DQ31&gt;0,DQ31*(AC32/AC31),0)</f>
        <v>0</v>
      </c>
      <c r="DR32" s="30">
        <f ca="1">SUM(DM32:DQ32)</f>
        <v>0</v>
      </c>
      <c r="EI32" s="162">
        <f>MATCH(EI31,EI3:EI14,0)</f>
        <v>1</v>
      </c>
    </row>
    <row r="33" spans="2:139" ht="16.5" customHeight="1" x14ac:dyDescent="0.25">
      <c r="G33" s="3"/>
      <c r="H33" s="3"/>
      <c r="I33" s="51"/>
      <c r="J33" s="3"/>
      <c r="K33" s="3"/>
      <c r="L33" s="51"/>
      <c r="O33" s="51"/>
      <c r="X33" s="104" t="s">
        <v>1195</v>
      </c>
      <c r="Y33" s="169">
        <f>IF($AD$32&gt;0,Y32/$AD$32,0)</f>
        <v>0</v>
      </c>
      <c r="Z33" s="169">
        <f t="shared" ref="Z33:AC33" si="86">IF($AD$32&gt;0,Z32/$AD$32,0)</f>
        <v>0</v>
      </c>
      <c r="AA33" s="169">
        <f t="shared" si="86"/>
        <v>0</v>
      </c>
      <c r="AB33" s="169">
        <f t="shared" si="86"/>
        <v>0</v>
      </c>
      <c r="AC33" s="169">
        <f t="shared" si="86"/>
        <v>0</v>
      </c>
      <c r="AE33" s="236"/>
      <c r="AF33" s="104" t="s">
        <v>1195</v>
      </c>
      <c r="AG33" s="169">
        <f>IF($AL$32&gt;0,AG32/$AL$32,0)</f>
        <v>0</v>
      </c>
      <c r="AH33" s="169">
        <f t="shared" ref="AH33:AK33" si="87">IF($AL$32&gt;0,AH32/$AL$32,0)</f>
        <v>0</v>
      </c>
      <c r="AI33" s="169">
        <f t="shared" si="87"/>
        <v>0</v>
      </c>
      <c r="AJ33" s="169">
        <f t="shared" si="87"/>
        <v>0</v>
      </c>
      <c r="AK33" s="169">
        <f t="shared" si="87"/>
        <v>0</v>
      </c>
      <c r="AM33" s="104" t="s">
        <v>1195</v>
      </c>
      <c r="AN33" s="131">
        <f>IF($AS$31&gt;0,AN31/$AS$31,0)</f>
        <v>0</v>
      </c>
      <c r="AO33" s="131">
        <f t="shared" ref="AO33:AR33" si="88">IF($AS$31&gt;0,AO31/$AS$31,0)</f>
        <v>0</v>
      </c>
      <c r="AP33" s="131">
        <f t="shared" si="88"/>
        <v>0</v>
      </c>
      <c r="AQ33" s="131">
        <f t="shared" si="88"/>
        <v>0</v>
      </c>
      <c r="AR33" s="131">
        <f t="shared" si="88"/>
        <v>0</v>
      </c>
      <c r="AS33" s="162"/>
      <c r="AT33" s="162"/>
      <c r="AV33" s="162"/>
      <c r="AW33" s="162"/>
      <c r="AX33" s="162"/>
      <c r="AY33" s="22"/>
      <c r="AZ33" s="22"/>
      <c r="BA33" s="22"/>
      <c r="BB33" s="22"/>
      <c r="BC33" s="22"/>
      <c r="BD33" s="22"/>
      <c r="BE33" s="22"/>
      <c r="BF33" s="22"/>
      <c r="BG33" s="22"/>
      <c r="BH33" s="22"/>
      <c r="BI33" s="22"/>
      <c r="BJ33" s="22"/>
      <c r="BK33" s="22"/>
      <c r="CA33" s="24" t="s">
        <v>1183</v>
      </c>
      <c r="CB33" s="27">
        <f ca="1">CB31-CB15</f>
        <v>0</v>
      </c>
      <c r="CC33" s="27">
        <f ca="1">CC31-CC15</f>
        <v>0</v>
      </c>
      <c r="CD33" s="27">
        <f ca="1">CD31-CD15</f>
        <v>0</v>
      </c>
      <c r="CE33" s="27">
        <f ca="1">CE31-CE15</f>
        <v>0</v>
      </c>
      <c r="CF33" s="27">
        <f ca="1">CF31-CF15</f>
        <v>0</v>
      </c>
      <c r="CG33" s="27">
        <f ca="1">CG31-CB15-CC15</f>
        <v>0</v>
      </c>
      <c r="CH33" s="125">
        <f ca="1">CG31-CG33</f>
        <v>0</v>
      </c>
      <c r="CI33" s="24" t="s">
        <v>1185</v>
      </c>
      <c r="CJ33" s="27">
        <f ca="1">CJ31-CJ15</f>
        <v>0</v>
      </c>
      <c r="CK33" s="27">
        <f ca="1">CK31-CK15</f>
        <v>0</v>
      </c>
      <c r="CL33" s="27">
        <f ca="1">CL31-CL15</f>
        <v>0</v>
      </c>
      <c r="CM33" s="27">
        <f ca="1">CM31-CM15</f>
        <v>0</v>
      </c>
      <c r="CN33" s="27">
        <f ca="1">CN31-CN15</f>
        <v>0</v>
      </c>
      <c r="CO33" s="27">
        <f ca="1">CO31-CJ15-CK15</f>
        <v>0</v>
      </c>
      <c r="CP33" s="125">
        <f ca="1">CO31-CO33</f>
        <v>0</v>
      </c>
      <c r="DB33" s="22"/>
      <c r="DC33" s="24" t="s">
        <v>1436</v>
      </c>
      <c r="DD33" s="30">
        <f ca="1">DD32+AG78</f>
        <v>0</v>
      </c>
      <c r="DE33" s="30">
        <f ca="1">DE32+AH78</f>
        <v>0</v>
      </c>
      <c r="DF33" s="30">
        <f ca="1">DF32+AI78</f>
        <v>0</v>
      </c>
      <c r="DG33" s="30">
        <f ca="1">DG32+AJ78</f>
        <v>0</v>
      </c>
      <c r="DH33" s="30">
        <f ca="1">DH32+AK78</f>
        <v>0</v>
      </c>
      <c r="DI33" s="30">
        <f ca="1">SUM(DD33:DH33)</f>
        <v>0</v>
      </c>
      <c r="DL33" s="24" t="s">
        <v>1436</v>
      </c>
      <c r="DM33" s="30">
        <f ca="1">DD32+AG78</f>
        <v>0</v>
      </c>
      <c r="DN33" s="30">
        <f t="shared" ref="DN33:DQ33" ca="1" si="89">DE32+AH78</f>
        <v>0</v>
      </c>
      <c r="DO33" s="30">
        <f t="shared" ca="1" si="89"/>
        <v>0</v>
      </c>
      <c r="DP33" s="30">
        <f t="shared" ca="1" si="89"/>
        <v>0</v>
      </c>
      <c r="DQ33" s="30">
        <f t="shared" ca="1" si="89"/>
        <v>0</v>
      </c>
      <c r="DR33" s="30">
        <f ca="1">SUM(DM33:DQ33)</f>
        <v>0</v>
      </c>
    </row>
    <row r="34" spans="2:139" ht="16.5" customHeight="1" x14ac:dyDescent="0.25">
      <c r="G34" s="3"/>
      <c r="H34" s="3"/>
      <c r="I34" s="51"/>
      <c r="J34" s="3"/>
      <c r="K34" s="3"/>
      <c r="L34" s="51"/>
      <c r="O34" s="51"/>
      <c r="X34" s="110" t="s">
        <v>1376</v>
      </c>
      <c r="Y34" s="163">
        <f>(Y32-$AD$142*Y33)</f>
        <v>0</v>
      </c>
      <c r="Z34" s="163">
        <f>(Z32-$AD$142*Z33)</f>
        <v>0</v>
      </c>
      <c r="AA34" s="163">
        <f>(AA32-$AD$142*AA33)</f>
        <v>0</v>
      </c>
      <c r="AB34" s="163">
        <f>(AB32-$AD$142*AB33)</f>
        <v>0</v>
      </c>
      <c r="AC34" s="163">
        <f>(AC32-$AD$142*AC33)</f>
        <v>0</v>
      </c>
      <c r="AD34" s="163">
        <f>SUM(Y34:AC34)</f>
        <v>0</v>
      </c>
      <c r="AE34" s="236"/>
      <c r="AF34" s="110" t="s">
        <v>1376</v>
      </c>
      <c r="AG34" s="163">
        <f>(AG32-$AD$142*AG33)</f>
        <v>0</v>
      </c>
      <c r="AH34" s="163">
        <f t="shared" ref="AH34:AK34" si="90">(AH32-$AD$142*AH33)</f>
        <v>0</v>
      </c>
      <c r="AI34" s="163">
        <f t="shared" si="90"/>
        <v>0</v>
      </c>
      <c r="AJ34" s="163">
        <f t="shared" si="90"/>
        <v>0</v>
      </c>
      <c r="AK34" s="163">
        <f t="shared" si="90"/>
        <v>0</v>
      </c>
      <c r="AL34" s="163">
        <f>SUM(AG34:AK34)</f>
        <v>0</v>
      </c>
      <c r="AM34" s="162"/>
      <c r="AO34" s="162"/>
      <c r="AP34" s="162"/>
      <c r="AQ34" s="162"/>
      <c r="AR34" s="162"/>
      <c r="AS34" s="162"/>
      <c r="AT34" s="162"/>
      <c r="AV34" s="162"/>
      <c r="AW34" s="162"/>
      <c r="AX34" s="162"/>
      <c r="DC34" s="24" t="s">
        <v>1195</v>
      </c>
      <c r="DD34" s="47">
        <f ca="1">IF($DI$33&gt;0,DD33/$DI$33,0)</f>
        <v>0</v>
      </c>
      <c r="DE34" s="47">
        <f ca="1">IF($DI$33&gt;0,DE33/$DI$33,0)</f>
        <v>0</v>
      </c>
      <c r="DF34" s="47">
        <f t="shared" ref="DF34:DG34" ca="1" si="91">IF($DI$33&gt;0,DF33/$DI$33,0)</f>
        <v>0</v>
      </c>
      <c r="DG34" s="47">
        <f t="shared" ca="1" si="91"/>
        <v>0</v>
      </c>
      <c r="DH34" s="47">
        <f ca="1">IF($DI$33&gt;0,DH33/$DI$33,0)</f>
        <v>0</v>
      </c>
      <c r="DI34" s="126"/>
      <c r="DL34" s="24" t="s">
        <v>1195</v>
      </c>
      <c r="DM34" s="127">
        <f ca="1">IF(DR33&gt;0,DM33/$DR$33,0)</f>
        <v>0</v>
      </c>
      <c r="DN34" s="127">
        <f t="shared" ref="DN34:DQ34" si="92">IF(DS33&gt;0,DN33/$DR$33,0)</f>
        <v>0</v>
      </c>
      <c r="DO34" s="127">
        <f t="shared" si="92"/>
        <v>0</v>
      </c>
      <c r="DP34" s="127">
        <f t="shared" si="92"/>
        <v>0</v>
      </c>
      <c r="DQ34" s="127">
        <f t="shared" si="92"/>
        <v>0</v>
      </c>
      <c r="DR34" s="126"/>
    </row>
    <row r="35" spans="2:139" ht="18" customHeight="1" x14ac:dyDescent="0.25">
      <c r="G35" s="3"/>
      <c r="H35" s="3"/>
      <c r="I35" s="3"/>
      <c r="J35" s="3"/>
      <c r="K35" s="3"/>
      <c r="L35" s="3"/>
      <c r="X35" s="110" t="s">
        <v>1377</v>
      </c>
      <c r="Y35" s="163">
        <f>(Y34-($AF$142+$AH$142)*Y33)</f>
        <v>0</v>
      </c>
      <c r="Z35" s="163">
        <f>(Z34-($AF$142+$AH$142)*Z33)</f>
        <v>0</v>
      </c>
      <c r="AA35" s="163">
        <f>(AA34-($AF$142+$AH$142)*AA33)</f>
        <v>0</v>
      </c>
      <c r="AB35" s="163">
        <f>(AB34-($AF$142+$AH$142)*AB33)</f>
        <v>0</v>
      </c>
      <c r="AC35" s="163">
        <f>(AC34-($AF$142+$AH$142)*AC33)</f>
        <v>0</v>
      </c>
      <c r="AD35" s="167">
        <f>SUM(Y35:AC35)</f>
        <v>0</v>
      </c>
      <c r="AE35" s="236"/>
      <c r="AF35" s="110" t="s">
        <v>1377</v>
      </c>
      <c r="AG35" s="163">
        <f>(AG34-($AF$142+$AH$142)*AG33)</f>
        <v>0</v>
      </c>
      <c r="AH35" s="163">
        <f>(AH34-($AF$142+$AH$142)*AH33)</f>
        <v>0</v>
      </c>
      <c r="AI35" s="163">
        <f t="shared" ref="AI35:AK35" si="93">(AI34-($AF$142+$AH$142)*AI33)</f>
        <v>0</v>
      </c>
      <c r="AJ35" s="163">
        <f t="shared" si="93"/>
        <v>0</v>
      </c>
      <c r="AK35" s="163">
        <f t="shared" si="93"/>
        <v>0</v>
      </c>
      <c r="AL35" s="167">
        <f>SUM(AG35:AK35)</f>
        <v>0</v>
      </c>
      <c r="AM35" s="162"/>
      <c r="AN35" s="162"/>
      <c r="AO35" s="162"/>
      <c r="AP35" s="162"/>
      <c r="AQ35" s="162"/>
      <c r="AR35" s="162"/>
      <c r="AS35" s="162"/>
      <c r="AT35" s="162"/>
      <c r="AU35" s="162"/>
      <c r="AV35" s="162"/>
      <c r="AW35" s="162"/>
      <c r="AX35" s="162"/>
      <c r="BA35" s="28"/>
      <c r="BB35" s="185" t="s">
        <v>1390</v>
      </c>
      <c r="BI35" s="185"/>
      <c r="BK35" s="185" t="s">
        <v>1391</v>
      </c>
      <c r="DC35" s="24" t="s">
        <v>1376</v>
      </c>
      <c r="DD35" s="30">
        <f ca="1">(DD33-$AD$142*DD34)</f>
        <v>0</v>
      </c>
      <c r="DE35" s="30">
        <f t="shared" ref="DE35:DH35" ca="1" si="94">(DE33-$AD$142*DE34)</f>
        <v>0</v>
      </c>
      <c r="DF35" s="30">
        <f t="shared" ca="1" si="94"/>
        <v>0</v>
      </c>
      <c r="DG35" s="30">
        <f t="shared" ca="1" si="94"/>
        <v>0</v>
      </c>
      <c r="DH35" s="30">
        <f t="shared" ca="1" si="94"/>
        <v>0</v>
      </c>
      <c r="DI35" s="30">
        <f ca="1">SUM(DD35:DH35)</f>
        <v>0</v>
      </c>
      <c r="DL35" s="186" t="s">
        <v>1439</v>
      </c>
      <c r="DM35" s="30">
        <f ca="1">DM33</f>
        <v>0</v>
      </c>
      <c r="DN35" s="30">
        <f t="shared" ref="DN35:DQ35" ca="1" si="95">DN33</f>
        <v>0</v>
      </c>
      <c r="DO35" s="30">
        <f t="shared" ca="1" si="95"/>
        <v>0</v>
      </c>
      <c r="DP35" s="30">
        <f t="shared" ca="1" si="95"/>
        <v>0</v>
      </c>
      <c r="DQ35" s="30">
        <f t="shared" ca="1" si="95"/>
        <v>0</v>
      </c>
      <c r="DR35" s="30">
        <f t="shared" ref="DR35:DR37" ca="1" si="96">SUM(DM35:DQ35)</f>
        <v>0</v>
      </c>
      <c r="EI35" s="80" t="str">
        <f>G81</f>
        <v>jan</v>
      </c>
    </row>
    <row r="36" spans="2:139" ht="15.75" customHeight="1" thickBot="1" x14ac:dyDescent="0.3">
      <c r="B36" s="267">
        <v>2</v>
      </c>
      <c r="C36" s="268" t="s">
        <v>1257</v>
      </c>
      <c r="D36" s="269"/>
      <c r="E36" s="269"/>
      <c r="F36" s="257"/>
      <c r="G36" s="257"/>
      <c r="H36" s="257"/>
      <c r="I36" s="257"/>
      <c r="J36" s="256"/>
      <c r="K36" s="256"/>
      <c r="L36" s="256"/>
      <c r="M36" s="257"/>
      <c r="N36" s="257"/>
      <c r="O36" s="257"/>
      <c r="P36" s="257"/>
      <c r="Q36" s="257"/>
      <c r="R36" s="257"/>
      <c r="S36" s="257"/>
      <c r="T36" s="257"/>
      <c r="U36" s="257"/>
      <c r="V36" s="257"/>
      <c r="W36" s="258"/>
      <c r="X36" s="110" t="s">
        <v>1378</v>
      </c>
      <c r="Y36" s="163">
        <f>IF(Y35&gt;0,Y35/(Y32/Y31),0)</f>
        <v>0</v>
      </c>
      <c r="Z36" s="163">
        <f>IF(Z35&gt;0,Z35/(Z32/Z31),0)</f>
        <v>0</v>
      </c>
      <c r="AA36" s="163">
        <f>IF(AA35&gt;0,AA35/(AA32/AA31),0)</f>
        <v>0</v>
      </c>
      <c r="AB36" s="163">
        <f>IF(AB35&gt;0,AB35/(AB32/AB31),0)</f>
        <v>0</v>
      </c>
      <c r="AC36" s="163">
        <f>IF(AC35&gt;0,AC35/(AC32/AC31),0)</f>
        <v>0</v>
      </c>
      <c r="AD36" s="58">
        <f>SUM(Y36:AC36)</f>
        <v>0</v>
      </c>
      <c r="AE36" s="236"/>
      <c r="AF36" s="110" t="s">
        <v>1378</v>
      </c>
      <c r="AG36" s="163">
        <f>IF(AG35&gt;0,AG35/(AG32/AG31),0)</f>
        <v>0</v>
      </c>
      <c r="AH36" s="163">
        <f>IF(AH35&gt;0,AH35/(AH32/AH31),0)</f>
        <v>0</v>
      </c>
      <c r="AI36" s="163">
        <f>IF(AI35&gt;0,AI35/(AI32/AI31),0)</f>
        <v>0</v>
      </c>
      <c r="AJ36" s="163">
        <f>IF(AJ35&gt;0,AJ35/(AJ32/AJ31),0)</f>
        <v>0</v>
      </c>
      <c r="AK36" s="163">
        <f>IF(AK35&gt;0,AK35/(AK32/AK31),0)</f>
        <v>0</v>
      </c>
      <c r="AL36" s="58">
        <f>SUM(AG36:AK36)</f>
        <v>0</v>
      </c>
      <c r="BB36" s="21" t="s">
        <v>1199</v>
      </c>
      <c r="BI36" s="21"/>
      <c r="BK36" s="21" t="s">
        <v>1199</v>
      </c>
      <c r="DC36" s="24" t="s">
        <v>1392</v>
      </c>
      <c r="DD36" s="52">
        <f ca="1">(DD35-($AF$142)*DD34)</f>
        <v>0</v>
      </c>
      <c r="DE36" s="52">
        <f ca="1">(DE35-($AF$142)*DE34)</f>
        <v>0</v>
      </c>
      <c r="DF36" s="52">
        <f ca="1">(DF35-($AF$142)*DF34)</f>
        <v>0</v>
      </c>
      <c r="DG36" s="52">
        <f t="shared" ref="DG36:DH36" ca="1" si="97">(DG35-($AF$142)*DG34)</f>
        <v>0</v>
      </c>
      <c r="DH36" s="52">
        <f t="shared" ca="1" si="97"/>
        <v>0</v>
      </c>
      <c r="DI36" s="52">
        <f ca="1">SUM(DD36:DH36)</f>
        <v>0</v>
      </c>
      <c r="DL36" s="24" t="s">
        <v>1392</v>
      </c>
      <c r="DM36" s="52">
        <f ca="1">(DM35-($AF$142)*DM34)</f>
        <v>0</v>
      </c>
      <c r="DN36" s="52">
        <f t="shared" ref="DN36:DQ36" ca="1" si="98">(DN35-($AF$142)*DN34)</f>
        <v>0</v>
      </c>
      <c r="DO36" s="52">
        <f t="shared" ca="1" si="98"/>
        <v>0</v>
      </c>
      <c r="DP36" s="52">
        <f t="shared" ca="1" si="98"/>
        <v>0</v>
      </c>
      <c r="DQ36" s="52">
        <f t="shared" ca="1" si="98"/>
        <v>0</v>
      </c>
      <c r="DR36" s="52">
        <f t="shared" ca="1" si="96"/>
        <v>0</v>
      </c>
      <c r="EI36" s="80">
        <f>MATCH(EI35,EI3:EI14,0)</f>
        <v>1</v>
      </c>
    </row>
    <row r="37" spans="2:139" ht="16.5" customHeight="1" thickBot="1" x14ac:dyDescent="0.3">
      <c r="B37" s="149"/>
      <c r="C37" s="31"/>
      <c r="D37" s="20"/>
      <c r="F37" s="3"/>
      <c r="G37" s="3"/>
      <c r="H37" s="3"/>
      <c r="I37" s="3"/>
      <c r="J37" s="3"/>
      <c r="K37" s="3"/>
      <c r="L37" s="3"/>
      <c r="X37" s="110" t="s">
        <v>1379</v>
      </c>
      <c r="Y37" s="163">
        <f>Y36</f>
        <v>0</v>
      </c>
      <c r="Z37" s="163">
        <f>Z36-$Z$142</f>
        <v>0</v>
      </c>
      <c r="AA37" s="163">
        <f>AA36</f>
        <v>0</v>
      </c>
      <c r="AB37" s="163">
        <f>AB36</f>
        <v>0</v>
      </c>
      <c r="AC37" s="173">
        <f>AC36</f>
        <v>0</v>
      </c>
      <c r="AD37" s="163">
        <f>SUM(Y37:AC37)</f>
        <v>0</v>
      </c>
      <c r="AE37" s="236"/>
      <c r="AF37" s="110" t="s">
        <v>1379</v>
      </c>
      <c r="AG37" s="163">
        <f>AG36</f>
        <v>0</v>
      </c>
      <c r="AH37" s="163">
        <f>AH36-$Z$142</f>
        <v>0</v>
      </c>
      <c r="AI37" s="163">
        <f>AI36</f>
        <v>0</v>
      </c>
      <c r="AJ37" s="163">
        <f>AJ36</f>
        <v>0</v>
      </c>
      <c r="AK37" s="163">
        <f>AK36</f>
        <v>0</v>
      </c>
      <c r="AL37" s="170">
        <f>SUM(AG37:AK37)</f>
        <v>0</v>
      </c>
      <c r="DC37" s="24" t="s">
        <v>1295</v>
      </c>
      <c r="DD37" s="30">
        <f ca="1">IF(DD36&gt;0,DD36/(AG32/AG31),0)</f>
        <v>0</v>
      </c>
      <c r="DE37" s="30">
        <f ca="1">IF(DE36&gt;0,DE36/(AH32/AH31),0)</f>
        <v>0</v>
      </c>
      <c r="DF37" s="30">
        <f t="shared" ref="DF37:DH37" ca="1" si="99">IF(DF36&gt;0,DF36/(AI32/AI31),0)</f>
        <v>0</v>
      </c>
      <c r="DG37" s="30">
        <f t="shared" ca="1" si="99"/>
        <v>0</v>
      </c>
      <c r="DH37" s="30">
        <f t="shared" ca="1" si="99"/>
        <v>0</v>
      </c>
      <c r="DI37" s="52">
        <f ca="1">SUM(DD37:DH37)</f>
        <v>0</v>
      </c>
      <c r="DL37" s="24" t="s">
        <v>1295</v>
      </c>
      <c r="DM37" s="30">
        <f ca="1">IF(DM36&gt;0,DM36/(AG32/AG31),0)</f>
        <v>0</v>
      </c>
      <c r="DN37" s="30">
        <f t="shared" ref="DN37:DQ37" ca="1" si="100">IF(DN36&gt;0,DN36/(AH32/AH31),0)</f>
        <v>0</v>
      </c>
      <c r="DO37" s="30">
        <f t="shared" ca="1" si="100"/>
        <v>0</v>
      </c>
      <c r="DP37" s="30">
        <f t="shared" ca="1" si="100"/>
        <v>0</v>
      </c>
      <c r="DQ37" s="30">
        <f t="shared" ca="1" si="100"/>
        <v>0</v>
      </c>
      <c r="DR37" s="52">
        <f t="shared" ca="1" si="96"/>
        <v>0</v>
      </c>
    </row>
    <row r="38" spans="2:139" ht="16.5" customHeight="1" x14ac:dyDescent="0.25">
      <c r="C38" s="150" t="s">
        <v>1250</v>
      </c>
      <c r="D38" s="3"/>
      <c r="F38" s="59"/>
      <c r="I38" s="59"/>
      <c r="L38" s="59"/>
      <c r="O38" s="59"/>
      <c r="Y38" s="169"/>
      <c r="Z38" s="169"/>
      <c r="AA38" s="169"/>
      <c r="AB38" s="169"/>
      <c r="AC38" s="169"/>
      <c r="AD38" s="169"/>
      <c r="AE38" s="236"/>
      <c r="AM38" s="128"/>
      <c r="AU38" s="96"/>
      <c r="BB38" s="21" t="s">
        <v>1106</v>
      </c>
      <c r="BK38" s="21" t="s">
        <v>1106</v>
      </c>
      <c r="DC38" s="24" t="s">
        <v>1382</v>
      </c>
      <c r="DD38" s="30">
        <f ca="1">DD37</f>
        <v>0</v>
      </c>
      <c r="DE38" s="30">
        <f ca="1">DE37+$AO$117</f>
        <v>0</v>
      </c>
      <c r="DF38" s="30">
        <f ca="1">DF37</f>
        <v>0</v>
      </c>
      <c r="DG38" s="30">
        <f t="shared" ref="DG38:DH38" ca="1" si="101">DG37</f>
        <v>0</v>
      </c>
      <c r="DH38" s="30">
        <f t="shared" ca="1" si="101"/>
        <v>0</v>
      </c>
      <c r="DI38" s="30">
        <f ca="1">SUM(DD38:DH38)</f>
        <v>0</v>
      </c>
      <c r="DL38" s="24" t="s">
        <v>1382</v>
      </c>
      <c r="DM38" s="52">
        <f ca="1">DM37</f>
        <v>0</v>
      </c>
      <c r="DN38" s="30">
        <f ca="1">DN37+$AO$117</f>
        <v>0</v>
      </c>
      <c r="DO38" s="52">
        <f ca="1">DO37</f>
        <v>0</v>
      </c>
      <c r="DP38" s="52">
        <f ca="1">DP37</f>
        <v>0</v>
      </c>
      <c r="DQ38" s="52">
        <f ca="1">DQ37</f>
        <v>0</v>
      </c>
      <c r="DR38" s="52">
        <f ca="1">SUM(DM38:DQ38)</f>
        <v>0</v>
      </c>
    </row>
    <row r="39" spans="2:139" ht="15.75" customHeight="1" thickBot="1" x14ac:dyDescent="0.3">
      <c r="F39" s="350" t="s">
        <v>1138</v>
      </c>
      <c r="G39" s="350"/>
      <c r="I39" s="60" t="s">
        <v>1047</v>
      </c>
      <c r="L39" s="60" t="s">
        <v>1048</v>
      </c>
      <c r="O39" s="60" t="s">
        <v>1049</v>
      </c>
      <c r="X39" s="110"/>
      <c r="Y39" s="110"/>
      <c r="Z39" s="110"/>
      <c r="AA39" s="110"/>
      <c r="AB39" s="110"/>
      <c r="AC39" s="110"/>
      <c r="AD39" s="110"/>
      <c r="AF39" s="110"/>
      <c r="AG39" s="162"/>
      <c r="AH39" s="162"/>
      <c r="AI39" s="162"/>
      <c r="AJ39" s="162"/>
      <c r="AK39" s="162"/>
      <c r="AM39" s="128"/>
      <c r="AN39" s="128"/>
      <c r="BA39" s="24" t="s">
        <v>1093</v>
      </c>
      <c r="BB39" s="32" t="s">
        <v>14</v>
      </c>
      <c r="BC39" s="32" t="s">
        <v>1085</v>
      </c>
      <c r="BD39" s="32" t="s">
        <v>1100</v>
      </c>
      <c r="BE39" s="32" t="s">
        <v>1096</v>
      </c>
      <c r="BF39" s="32" t="s">
        <v>1097</v>
      </c>
      <c r="BG39" s="22"/>
      <c r="BJ39" s="24" t="s">
        <v>1093</v>
      </c>
      <c r="BK39" s="32" t="s">
        <v>14</v>
      </c>
      <c r="BL39" s="32" t="s">
        <v>1085</v>
      </c>
      <c r="BM39" s="32" t="s">
        <v>1100</v>
      </c>
      <c r="BN39" s="32" t="s">
        <v>1096</v>
      </c>
      <c r="BO39" s="32" t="s">
        <v>1097</v>
      </c>
      <c r="BP39" s="22"/>
      <c r="DC39" s="24" t="s">
        <v>1379</v>
      </c>
      <c r="DD39" s="52">
        <f ca="1">DD38</f>
        <v>0</v>
      </c>
      <c r="DE39" s="52">
        <f ca="1">DE38-$Z$142</f>
        <v>0</v>
      </c>
      <c r="DF39" s="52">
        <f ca="1">DF38</f>
        <v>0</v>
      </c>
      <c r="DG39" s="52">
        <f ca="1">DG38</f>
        <v>0</v>
      </c>
      <c r="DH39" s="52">
        <f ca="1">DH38</f>
        <v>0</v>
      </c>
      <c r="DI39" s="52">
        <f ca="1">SUM(DD39:DH39)</f>
        <v>0</v>
      </c>
      <c r="DL39" s="186" t="s">
        <v>1440</v>
      </c>
      <c r="DM39" s="52">
        <f ca="1">DM38</f>
        <v>0</v>
      </c>
      <c r="DN39" s="52">
        <f t="shared" ref="DN39:DQ40" ca="1" si="102">DN38</f>
        <v>0</v>
      </c>
      <c r="DO39" s="52">
        <f t="shared" ca="1" si="102"/>
        <v>0</v>
      </c>
      <c r="DP39" s="52">
        <f t="shared" ca="1" si="102"/>
        <v>0</v>
      </c>
      <c r="DQ39" s="52">
        <f t="shared" ca="1" si="102"/>
        <v>0</v>
      </c>
      <c r="DR39" s="56">
        <f ca="1">SUM(DM39:DQ39)</f>
        <v>0</v>
      </c>
      <c r="EI39" s="80" t="str">
        <f>G104</f>
        <v>jan</v>
      </c>
    </row>
    <row r="40" spans="2:139" ht="16.5" customHeight="1" thickBot="1" x14ac:dyDescent="0.3">
      <c r="C40" s="33" t="s">
        <v>1050</v>
      </c>
      <c r="D40" s="246">
        <v>1</v>
      </c>
      <c r="F40" s="34" t="s">
        <v>9</v>
      </c>
      <c r="G40" s="249">
        <f>$G$14</f>
        <v>2019</v>
      </c>
      <c r="H40" s="3"/>
      <c r="I40" s="33" t="s">
        <v>1208</v>
      </c>
      <c r="J40" s="242" t="s">
        <v>14</v>
      </c>
      <c r="K40" s="3"/>
      <c r="L40" s="33" t="s">
        <v>1208</v>
      </c>
      <c r="M40" s="242" t="s">
        <v>15</v>
      </c>
      <c r="N40" s="3"/>
      <c r="O40" s="33" t="s">
        <v>1208</v>
      </c>
      <c r="P40" s="242" t="s">
        <v>1053</v>
      </c>
      <c r="Q40" s="3"/>
      <c r="R40" s="3"/>
      <c r="S40" s="3"/>
      <c r="T40" s="3"/>
      <c r="U40" s="3"/>
      <c r="V40" s="3"/>
      <c r="X40" s="110"/>
      <c r="Y40" s="110"/>
      <c r="Z40" s="110"/>
      <c r="AA40" s="110"/>
      <c r="AB40" s="110"/>
      <c r="AC40" s="110"/>
      <c r="AD40" s="110"/>
      <c r="AF40" s="110"/>
      <c r="AG40" s="162"/>
      <c r="AH40" s="162"/>
      <c r="AI40" s="162"/>
      <c r="AJ40" s="162"/>
      <c r="AK40" s="162"/>
      <c r="AM40" s="128"/>
      <c r="AN40" s="84" t="s">
        <v>1249</v>
      </c>
      <c r="AY40" s="22"/>
      <c r="BA40" s="24" t="s">
        <v>1285</v>
      </c>
      <c r="BB40" s="30">
        <v>1</v>
      </c>
      <c r="BC40" s="30">
        <v>1.6</v>
      </c>
      <c r="BD40" s="30">
        <v>1</v>
      </c>
      <c r="BE40" s="30">
        <v>1</v>
      </c>
      <c r="BF40" s="30">
        <v>1</v>
      </c>
      <c r="BG40" s="22"/>
      <c r="BH40" s="22"/>
      <c r="BJ40" s="24" t="s">
        <v>1285</v>
      </c>
      <c r="BK40" s="30">
        <v>1</v>
      </c>
      <c r="BL40" s="30">
        <v>1.6</v>
      </c>
      <c r="BM40" s="30">
        <v>1</v>
      </c>
      <c r="BN40" s="30">
        <v>1</v>
      </c>
      <c r="BO40" s="30">
        <v>1</v>
      </c>
      <c r="BP40" s="22"/>
      <c r="BQ40" s="22"/>
      <c r="BT40" s="22"/>
      <c r="BU40" s="22"/>
      <c r="BV40" s="22"/>
      <c r="BW40" s="22"/>
      <c r="BX40" s="22"/>
      <c r="BY40" s="22"/>
      <c r="DC40" s="24" t="s">
        <v>1383</v>
      </c>
      <c r="DD40" s="30">
        <f ca="1">DD39</f>
        <v>0</v>
      </c>
      <c r="DE40" s="30">
        <f t="shared" ref="DE40:DH40" ca="1" si="103">DE39</f>
        <v>0</v>
      </c>
      <c r="DF40" s="30">
        <f t="shared" ca="1" si="103"/>
        <v>0</v>
      </c>
      <c r="DG40" s="30">
        <f t="shared" ca="1" si="103"/>
        <v>0</v>
      </c>
      <c r="DH40" s="30">
        <f t="shared" ca="1" si="103"/>
        <v>0</v>
      </c>
      <c r="DI40" s="170">
        <f ca="1">DD40+DE40+DF40+DG40+DH40</f>
        <v>0</v>
      </c>
      <c r="DJ40" s="27">
        <f ca="1">DI40*1000/'Indata byggnad och BBR krav'!$C$16</f>
        <v>0</v>
      </c>
      <c r="DK40" s="27"/>
      <c r="DL40" s="24" t="s">
        <v>1383</v>
      </c>
      <c r="DM40" s="30">
        <f ca="1">DM39</f>
        <v>0</v>
      </c>
      <c r="DN40" s="30">
        <f t="shared" ca="1" si="102"/>
        <v>0</v>
      </c>
      <c r="DO40" s="30">
        <f t="shared" ca="1" si="102"/>
        <v>0</v>
      </c>
      <c r="DP40" s="30">
        <f t="shared" ca="1" si="102"/>
        <v>0</v>
      </c>
      <c r="DQ40" s="30">
        <f t="shared" ca="1" si="102"/>
        <v>0</v>
      </c>
      <c r="DR40" s="170">
        <f ca="1">DM40+DN40+DO40+DP40+DQ40</f>
        <v>0</v>
      </c>
      <c r="DS40" s="27">
        <f ca="1">DR40*1000/'Indata byggnad och BBR krav'!$C$16</f>
        <v>0</v>
      </c>
      <c r="DT40" s="27"/>
      <c r="EI40" s="80">
        <f>MATCH(EI39,EI3:EI14,0)</f>
        <v>1</v>
      </c>
    </row>
    <row r="41" spans="2:139" ht="16.5" customHeight="1" thickBot="1" x14ac:dyDescent="0.3">
      <c r="C41" s="34" t="s">
        <v>1252</v>
      </c>
      <c r="D41" s="246" t="s">
        <v>1256</v>
      </c>
      <c r="F41" s="34" t="s">
        <v>19</v>
      </c>
      <c r="G41" s="249" t="str">
        <f>$G$15</f>
        <v>jan</v>
      </c>
      <c r="H41" s="3"/>
      <c r="I41" s="33" t="s">
        <v>13</v>
      </c>
      <c r="J41" s="246">
        <v>0.98</v>
      </c>
      <c r="K41" s="2"/>
      <c r="L41" s="33" t="s">
        <v>13</v>
      </c>
      <c r="M41" s="246">
        <v>2</v>
      </c>
      <c r="N41" s="2"/>
      <c r="O41" s="33" t="s">
        <v>13</v>
      </c>
      <c r="P41" s="246">
        <v>1</v>
      </c>
      <c r="Q41" s="2"/>
      <c r="R41" s="2"/>
      <c r="S41" s="2"/>
      <c r="T41" s="2"/>
      <c r="U41" s="2"/>
      <c r="V41" s="2"/>
      <c r="Y41" s="86" t="s">
        <v>1259</v>
      </c>
      <c r="AF41" s="110"/>
      <c r="AG41" s="86" t="s">
        <v>1427</v>
      </c>
      <c r="AH41" s="162"/>
      <c r="AI41" s="162"/>
      <c r="AJ41" s="162"/>
      <c r="AK41" s="162"/>
      <c r="AM41" s="128"/>
      <c r="AT41" s="228"/>
      <c r="AU41" s="348" t="s">
        <v>1312</v>
      </c>
      <c r="AY41" s="22"/>
      <c r="BA41" s="24" t="s">
        <v>1286</v>
      </c>
      <c r="BB41" s="32">
        <v>0.7</v>
      </c>
      <c r="BC41" s="32">
        <v>1.8</v>
      </c>
      <c r="BD41" s="32">
        <v>0.6</v>
      </c>
      <c r="BE41" s="32">
        <v>1.8</v>
      </c>
      <c r="BF41" s="32">
        <v>1.8</v>
      </c>
      <c r="BG41" s="22" t="s">
        <v>1094</v>
      </c>
      <c r="BJ41" s="24" t="s">
        <v>1286</v>
      </c>
      <c r="BK41" s="32">
        <v>0.7</v>
      </c>
      <c r="BL41" s="32">
        <v>1.8</v>
      </c>
      <c r="BM41" s="32">
        <v>0.6</v>
      </c>
      <c r="BN41" s="32">
        <v>1.8</v>
      </c>
      <c r="BO41" s="32">
        <v>1.8</v>
      </c>
      <c r="BP41" s="22" t="s">
        <v>1094</v>
      </c>
      <c r="BT41" s="22"/>
      <c r="BU41" s="22"/>
      <c r="BV41" s="22"/>
      <c r="BW41" s="22"/>
      <c r="BX41" s="22"/>
      <c r="BY41" s="22"/>
      <c r="DC41" s="24" t="s">
        <v>1198</v>
      </c>
      <c r="DD41" s="52">
        <f ca="1">DD40/'Indata byggnad och BBR krav'!$C$25</f>
        <v>0</v>
      </c>
      <c r="DE41" s="52">
        <f ca="1">DE40/'Indata byggnad och BBR krav'!$C$25</f>
        <v>0</v>
      </c>
      <c r="DF41" s="52">
        <f ca="1">DF40/'Indata byggnad och BBR krav'!$C$25</f>
        <v>0</v>
      </c>
      <c r="DG41" s="52">
        <f ca="1">DG40/'Indata byggnad och BBR krav'!$C$25</f>
        <v>0</v>
      </c>
      <c r="DH41" s="52">
        <f ca="1">DH40/'Indata byggnad och BBR krav'!$C$25</f>
        <v>0</v>
      </c>
      <c r="DI41" s="56">
        <f ca="1">DD41+DE41+DF41+DG41+DH41</f>
        <v>0</v>
      </c>
      <c r="DJ41" s="27">
        <f ca="1">DJ40/0.9*DD15</f>
        <v>0</v>
      </c>
      <c r="DK41" s="27"/>
      <c r="DL41" s="24" t="s">
        <v>1198</v>
      </c>
      <c r="DM41" s="52">
        <f ca="1">DM40/'Indata byggnad och BBR krav'!$C$25</f>
        <v>0</v>
      </c>
      <c r="DN41" s="52">
        <f ca="1">DN40/'Indata byggnad och BBR krav'!$C$25</f>
        <v>0</v>
      </c>
      <c r="DO41" s="52">
        <f ca="1">DO40/'Indata byggnad och BBR krav'!$C$25</f>
        <v>0</v>
      </c>
      <c r="DP41" s="52">
        <f ca="1">DP40/'Indata byggnad och BBR krav'!$C$25</f>
        <v>0</v>
      </c>
      <c r="DQ41" s="52">
        <f ca="1">DQ40/'Indata byggnad och BBR krav'!$C$25</f>
        <v>0</v>
      </c>
      <c r="DR41" s="56">
        <f ca="1">DM41+DN41+DO41+DP41+DQ41</f>
        <v>0</v>
      </c>
      <c r="DS41" s="27">
        <f ca="1">DS40/0.9*DM15</f>
        <v>0</v>
      </c>
      <c r="DT41" s="27"/>
    </row>
    <row r="42" spans="2:139" ht="16.5" customHeight="1" thickBot="1" x14ac:dyDescent="0.3">
      <c r="C42" s="62" t="s">
        <v>20</v>
      </c>
      <c r="D42" s="246" t="s">
        <v>1222</v>
      </c>
      <c r="F42" s="60"/>
      <c r="G42" s="60"/>
      <c r="H42" s="3"/>
      <c r="I42" s="34" t="s">
        <v>1136</v>
      </c>
      <c r="J42" s="242" t="s">
        <v>1046</v>
      </c>
      <c r="K42" s="227"/>
      <c r="L42" s="34" t="s">
        <v>1136</v>
      </c>
      <c r="M42" s="242" t="s">
        <v>1046</v>
      </c>
      <c r="O42" s="34" t="s">
        <v>1136</v>
      </c>
      <c r="P42" s="242" t="s">
        <v>1046</v>
      </c>
      <c r="Q42" s="3"/>
      <c r="R42" s="3"/>
      <c r="S42" s="3"/>
      <c r="T42" s="3"/>
      <c r="U42" s="3"/>
      <c r="V42" s="3"/>
      <c r="Y42" s="86"/>
      <c r="AF42" s="162"/>
      <c r="AG42" s="84" t="s">
        <v>1428</v>
      </c>
      <c r="AM42" s="128"/>
      <c r="AN42" s="86" t="s">
        <v>1429</v>
      </c>
      <c r="AT42" s="348" t="s">
        <v>1437</v>
      </c>
      <c r="AU42" s="348"/>
      <c r="AW42" s="348" t="s">
        <v>1438</v>
      </c>
      <c r="AY42" s="22"/>
      <c r="BA42" s="24" t="s">
        <v>1287</v>
      </c>
      <c r="BB42" s="30">
        <f>AG57</f>
        <v>0</v>
      </c>
      <c r="BC42" s="30">
        <f>AH57</f>
        <v>0</v>
      </c>
      <c r="BD42" s="30">
        <f>AI57</f>
        <v>0</v>
      </c>
      <c r="BE42" s="30">
        <f>AJ57</f>
        <v>0</v>
      </c>
      <c r="BF42" s="30">
        <f>AK57</f>
        <v>0</v>
      </c>
      <c r="BG42" s="30">
        <f>SUM(BB42:BF42)</f>
        <v>0</v>
      </c>
      <c r="BH42" s="22"/>
      <c r="BJ42" s="24" t="s">
        <v>1287</v>
      </c>
      <c r="BK42" s="30">
        <f>AG57</f>
        <v>0</v>
      </c>
      <c r="BL42" s="30">
        <f>AH57</f>
        <v>0</v>
      </c>
      <c r="BM42" s="30">
        <f>AI57</f>
        <v>0</v>
      </c>
      <c r="BN42" s="30">
        <f>AJ57</f>
        <v>0</v>
      </c>
      <c r="BO42" s="30">
        <f>AK57</f>
        <v>0</v>
      </c>
      <c r="BP42" s="30">
        <f>SUM(BK42:BO42)</f>
        <v>0</v>
      </c>
      <c r="BQ42" s="22"/>
      <c r="BT42" s="22"/>
      <c r="BU42" s="22"/>
      <c r="BV42" s="22"/>
      <c r="BW42" s="22"/>
      <c r="BX42" s="22"/>
      <c r="BY42" s="22"/>
      <c r="DC42" s="24" t="s">
        <v>1384</v>
      </c>
      <c r="DD42" s="30">
        <f ca="1">DD41*DD15</f>
        <v>0</v>
      </c>
      <c r="DE42" s="30">
        <f ca="1">DE41*DE15</f>
        <v>0</v>
      </c>
      <c r="DF42" s="30">
        <f ca="1">DF41*DF15</f>
        <v>0</v>
      </c>
      <c r="DG42" s="30">
        <f ca="1">DG41*DG15</f>
        <v>0</v>
      </c>
      <c r="DH42" s="30">
        <f ca="1">DH41*DH15</f>
        <v>0</v>
      </c>
      <c r="DI42" s="63">
        <f ca="1">DD42+DE42+DF42+DG42+DH42</f>
        <v>0</v>
      </c>
      <c r="DJ42" s="27">
        <f ca="1">DI42*1000/'Indata byggnad och BBR krav'!$C$16</f>
        <v>0</v>
      </c>
      <c r="DK42" s="27"/>
      <c r="DL42" s="24" t="s">
        <v>1384</v>
      </c>
      <c r="DM42" s="30">
        <f ca="1">DM41*DM15</f>
        <v>0</v>
      </c>
      <c r="DN42" s="30">
        <f ca="1">DN41*DN15</f>
        <v>0</v>
      </c>
      <c r="DO42" s="30">
        <f ca="1">DO41*DO15</f>
        <v>0</v>
      </c>
      <c r="DP42" s="30">
        <f ca="1">DP41*DP15</f>
        <v>0</v>
      </c>
      <c r="DQ42" s="30">
        <f ca="1">DQ41*DQ15</f>
        <v>0</v>
      </c>
      <c r="DR42" s="63">
        <f ca="1">DM42+DN42+DO42+DP42+DQ42</f>
        <v>0</v>
      </c>
      <c r="DS42" s="27">
        <f ca="1">DR42*1000/'Indata byggnad och BBR krav'!$C$16</f>
        <v>0</v>
      </c>
      <c r="DT42" s="27"/>
      <c r="EI42" s="80" t="str">
        <f>G130</f>
        <v>jan</v>
      </c>
    </row>
    <row r="43" spans="2:139" ht="16.5" customHeight="1" thickBot="1" x14ac:dyDescent="0.3">
      <c r="C43" s="152" t="s">
        <v>1354</v>
      </c>
      <c r="G43" s="3"/>
      <c r="H43" s="3"/>
      <c r="I43" s="64"/>
      <c r="J43" s="40" t="s">
        <v>1132</v>
      </c>
      <c r="K43" s="40"/>
      <c r="L43" s="64"/>
      <c r="M43" s="40" t="s">
        <v>1132</v>
      </c>
      <c r="N43" s="40"/>
      <c r="O43" s="64"/>
      <c r="P43" s="40" t="s">
        <v>1132</v>
      </c>
      <c r="Q43" s="40"/>
      <c r="R43" s="40"/>
      <c r="S43" s="40"/>
      <c r="T43" s="40"/>
      <c r="U43" s="40"/>
      <c r="V43" s="40"/>
      <c r="Y43" s="162" t="s">
        <v>14</v>
      </c>
      <c r="Z43" s="162" t="s">
        <v>1085</v>
      </c>
      <c r="AA43" s="162" t="s">
        <v>1100</v>
      </c>
      <c r="AB43" s="162" t="s">
        <v>1096</v>
      </c>
      <c r="AC43" s="162" t="s">
        <v>1097</v>
      </c>
      <c r="AD43" s="162" t="s">
        <v>1094</v>
      </c>
      <c r="AF43" s="65"/>
      <c r="AG43" s="162" t="s">
        <v>14</v>
      </c>
      <c r="AH43" s="162" t="s">
        <v>1085</v>
      </c>
      <c r="AI43" s="162" t="s">
        <v>1100</v>
      </c>
      <c r="AJ43" s="162" t="s">
        <v>1096</v>
      </c>
      <c r="AK43" s="162" t="s">
        <v>1097</v>
      </c>
      <c r="AL43" s="162" t="s">
        <v>1094</v>
      </c>
      <c r="AM43" s="128"/>
      <c r="AN43" s="162" t="s">
        <v>14</v>
      </c>
      <c r="AO43" s="162" t="s">
        <v>1085</v>
      </c>
      <c r="AP43" s="162" t="s">
        <v>1100</v>
      </c>
      <c r="AQ43" s="162" t="s">
        <v>1096</v>
      </c>
      <c r="AR43" s="162" t="s">
        <v>1097</v>
      </c>
      <c r="AS43" s="162" t="s">
        <v>1094</v>
      </c>
      <c r="AT43" s="349"/>
      <c r="AU43" s="349"/>
      <c r="AV43" s="84" t="s">
        <v>1368</v>
      </c>
      <c r="AW43" s="349"/>
      <c r="AX43" s="84" t="s">
        <v>1368</v>
      </c>
      <c r="AY43" s="22"/>
      <c r="BA43" s="24" t="s">
        <v>1288</v>
      </c>
      <c r="BB43" s="30">
        <f>AG56</f>
        <v>0</v>
      </c>
      <c r="BC43" s="30">
        <f>AH56</f>
        <v>0</v>
      </c>
      <c r="BD43" s="30">
        <f>AI56</f>
        <v>0</v>
      </c>
      <c r="BE43" s="30">
        <f>AJ56</f>
        <v>0</v>
      </c>
      <c r="BF43" s="30">
        <f>AK56</f>
        <v>0</v>
      </c>
      <c r="BG43" s="30">
        <f>SUM(BB43:BF43)</f>
        <v>0</v>
      </c>
      <c r="BH43" s="22"/>
      <c r="BJ43" s="24" t="s">
        <v>1288</v>
      </c>
      <c r="BK43" s="30">
        <f>AG56</f>
        <v>0</v>
      </c>
      <c r="BL43" s="30">
        <f>AH56</f>
        <v>0</v>
      </c>
      <c r="BM43" s="30">
        <f>AI56</f>
        <v>0</v>
      </c>
      <c r="BN43" s="30">
        <f>AJ56</f>
        <v>0</v>
      </c>
      <c r="BO43" s="30">
        <f>AK56</f>
        <v>0</v>
      </c>
      <c r="BP43" s="30">
        <f>SUM(BK43:BO43)</f>
        <v>0</v>
      </c>
      <c r="BQ43" s="22"/>
      <c r="BT43" s="22"/>
      <c r="BU43" s="22"/>
      <c r="BV43" s="22"/>
      <c r="BW43" s="22"/>
      <c r="BX43" s="22"/>
      <c r="BY43" s="22"/>
      <c r="DC43" s="24" t="s">
        <v>1385</v>
      </c>
      <c r="DD43" s="30">
        <f ca="1">DD41*DD16</f>
        <v>0</v>
      </c>
      <c r="DE43" s="30">
        <f ca="1">DE41*DE16</f>
        <v>0</v>
      </c>
      <c r="DF43" s="30">
        <f ca="1">DF41*DF16</f>
        <v>0</v>
      </c>
      <c r="DG43" s="30">
        <f ca="1">DG41*DG16</f>
        <v>0</v>
      </c>
      <c r="DH43" s="30">
        <f ca="1">DH41*DH16</f>
        <v>0</v>
      </c>
      <c r="DI43" s="63">
        <f ca="1">DD43+DE43+DF43+DG43+DH43</f>
        <v>0</v>
      </c>
      <c r="DL43" s="24" t="s">
        <v>1385</v>
      </c>
      <c r="DM43" s="30">
        <f ca="1">DM41*DM16</f>
        <v>0</v>
      </c>
      <c r="DN43" s="30">
        <f ca="1">DN41*DN16</f>
        <v>0</v>
      </c>
      <c r="DO43" s="30">
        <f ca="1">DO41*DO16</f>
        <v>0</v>
      </c>
      <c r="DP43" s="30">
        <f ca="1">DP41*DP16</f>
        <v>0</v>
      </c>
      <c r="DQ43" s="30">
        <f ca="1">DQ41*DQ16</f>
        <v>0</v>
      </c>
      <c r="DR43" s="63">
        <f ca="1">DM43+DN43+DO43+DP43+DQ43</f>
        <v>0</v>
      </c>
      <c r="EI43" s="80">
        <f>MATCH(EI42,EI3:EI14,0)</f>
        <v>1</v>
      </c>
    </row>
    <row r="44" spans="2:139" ht="16.5" customHeight="1" x14ac:dyDescent="0.25">
      <c r="C44" s="351"/>
      <c r="D44" s="352"/>
      <c r="E44" s="20"/>
      <c r="F44" s="262" t="s">
        <v>1044</v>
      </c>
      <c r="G44" s="262" t="s">
        <v>1045</v>
      </c>
      <c r="H44" s="3"/>
      <c r="I44" s="23" t="s">
        <v>1075</v>
      </c>
      <c r="J44" s="262" t="str">
        <f>J42</f>
        <v>Producerad energi</v>
      </c>
      <c r="K44" s="3"/>
      <c r="L44" s="23" t="s">
        <v>1075</v>
      </c>
      <c r="M44" s="262" t="str">
        <f>M42</f>
        <v>Producerad energi</v>
      </c>
      <c r="N44" s="3"/>
      <c r="O44" s="23" t="s">
        <v>1075</v>
      </c>
      <c r="P44" s="262" t="str">
        <f>P42</f>
        <v>Producerad energi</v>
      </c>
      <c r="Q44" s="3"/>
      <c r="R44" s="3"/>
      <c r="S44" s="3"/>
      <c r="T44" s="3"/>
      <c r="U44" s="3"/>
      <c r="V44" s="3"/>
      <c r="Y44" s="164">
        <f>IF($J$40=$Y$43,I45,0)+IF($M$40=$Y$43,L45,0)+IF($P$40=$Y$43,O45,0)</f>
        <v>0</v>
      </c>
      <c r="Z44" s="164">
        <f t="shared" ref="Z44:Z55" si="104">IF(OR($J$40="El-panna",$J$40="Värmepump"),I45,0)+IF(OR($M$40="El-panna",$M$40="Värmepump"),L45,0)+IF(OR($P$40="El-panna",$P$40="Värmepump"),O45,0)</f>
        <v>0</v>
      </c>
      <c r="AA44" s="164">
        <f t="shared" ref="AA44:AA55" si="105">IF(OR($J$40="Flispanna",$J$40="Pelletspanna",$J$40="Vedpanna"),I45,0)+IF(OR($M$40="Flispanna",$M$40="Pelletspanna",$M$40="Vedpanna"),L45,0)+IF(OR($P$40="Flispanna",$P$40="Pelletspanna",$P$40="Vedpanna"),O45,0)</f>
        <v>0</v>
      </c>
      <c r="AB44" s="163">
        <f t="shared" ref="AB44:AB55" si="106">IF($J$40="Gaspanna",I45,0)+IF($M$40="Gaspanna",L45,0)+IF($P$40="Gaspanna",O45,0)</f>
        <v>0</v>
      </c>
      <c r="AC44" s="163">
        <f t="shared" ref="AC44:AC55" si="107">IF($J$40="Oljepanna",I45,0)+IF($M$40="Oljepanna",L45,0)+IF($P$40="Oljepanna",O45,0)</f>
        <v>0</v>
      </c>
      <c r="AD44" s="163">
        <f t="shared" ref="AD44:AD55" si="108">Y44+Z44+AA44+AB44+AC44</f>
        <v>0</v>
      </c>
      <c r="AF44" s="65"/>
      <c r="AG44" s="158">
        <f>IF($D$41="Inkluderad i energi för tappvarmvatten",Y44*0.75,Y44)</f>
        <v>0</v>
      </c>
      <c r="AH44" s="164">
        <f>IF($D$41="Inkluderad i energi för tappvarmvatten",Z44*0.75,Z44)</f>
        <v>0</v>
      </c>
      <c r="AI44" s="164">
        <f>IF($D$41="Inkluderad i energi för tappvarmvatten",AA44*0.75,AA44)</f>
        <v>0</v>
      </c>
      <c r="AJ44" s="164">
        <f>IF($D$41="Inkluderad i energi för tappvarmvatten",AB44*0.75,AB44)</f>
        <v>0</v>
      </c>
      <c r="AK44" s="164">
        <f>IF($D$41="Inkluderad i energi för tappvarmvatten",AC44*0.75,AC44)</f>
        <v>0</v>
      </c>
      <c r="AL44" s="163">
        <f t="shared" ref="AL44:AL55" si="109">AG44+AH44+AI44+AJ44+AK44</f>
        <v>0</v>
      </c>
      <c r="AM44" s="128"/>
      <c r="AN44" s="164">
        <f>IF($AG$58&gt;0,AG44*($Y$57/$Y$56),0)</f>
        <v>0</v>
      </c>
      <c r="AO44" s="164">
        <f>IF($AH$58&gt;0,AH44*($Z$57/$Z$56),0)</f>
        <v>0</v>
      </c>
      <c r="AP44" s="164">
        <f>IF($AI$58&gt;0,AI44*($AA$57/$AA$56),0)</f>
        <v>0</v>
      </c>
      <c r="AQ44" s="164">
        <f>IF($AJ$58&gt;0,AJ44*($AB$57/$AB$56),0)</f>
        <v>0</v>
      </c>
      <c r="AR44" s="164">
        <f>IF($AK$57&gt;0,AK44*($AC$57/$AC$56),0)</f>
        <v>0</v>
      </c>
      <c r="AS44" s="163">
        <f>AN44+AO44+AP44+AQ44+AR44</f>
        <v>0</v>
      </c>
      <c r="AT44" s="163">
        <f>IF($AN$58&gt;0,(AN44-$AN$58*(AC131+AE131+AG131))/$AN$57,0)+IF($AO$58&gt;0,(AO44-$AO$58*(AC131+AE131+AG131))/$AO$57,0)+IF($AP$58&gt;0,(AP44-$AP$58*(AC131+AE131+AG131))/$AP$57,0)+IF($AQ$58&gt;0,(AQ44-$AQ$58*(AC131+AE131+AG131))/$AQ$57,0)+IF($AR$58&gt;0,(AR44-$AR$58*(AC131+AE131+AG131))/$AR$57,0)</f>
        <v>0</v>
      </c>
      <c r="AU44" s="132">
        <f t="shared" ref="AU44:AU55" si="110">AT44-Y130</f>
        <v>0</v>
      </c>
      <c r="AV44" s="237" t="str">
        <f>IF(AT44&lt;0,"Fel i indata","")</f>
        <v/>
      </c>
      <c r="AW44" s="163">
        <f>IF($AO$58&gt;0,(AO44/$AO$57-Y130),0)</f>
        <v>0</v>
      </c>
      <c r="AX44" s="237" t="str">
        <f>IF(AW44&lt;0,"Fel i indata","")</f>
        <v/>
      </c>
      <c r="AY44" s="22"/>
      <c r="BA44" s="24" t="s">
        <v>1107</v>
      </c>
      <c r="BB44" s="47">
        <f>IF(BB42&gt;0,BB42/BB43,0)</f>
        <v>0</v>
      </c>
      <c r="BC44" s="47">
        <f>IF(BC42&gt;0,BC42/BC43,0)</f>
        <v>0</v>
      </c>
      <c r="BD44" s="47">
        <f>IF(BD42&gt;0,BD42/BD43,0)</f>
        <v>0</v>
      </c>
      <c r="BE44" s="47">
        <f>IF(BE42&gt;0,BE42/BE43,0)</f>
        <v>0</v>
      </c>
      <c r="BF44" s="47">
        <f>IF(BF42&gt;0,BF42/BF43,0)</f>
        <v>0</v>
      </c>
      <c r="BG44" s="22"/>
      <c r="BH44" s="22"/>
      <c r="BJ44" s="24" t="s">
        <v>1107</v>
      </c>
      <c r="BK44" s="47">
        <f>IF(BB42&gt;0,BB42/BB43,0)</f>
        <v>0</v>
      </c>
      <c r="BL44" s="47">
        <f t="shared" ref="BL44:BO44" si="111">IF(BC42&gt;0,BC42/BC43,0)</f>
        <v>0</v>
      </c>
      <c r="BM44" s="47">
        <f t="shared" si="111"/>
        <v>0</v>
      </c>
      <c r="BN44" s="47">
        <f t="shared" si="111"/>
        <v>0</v>
      </c>
      <c r="BO44" s="47">
        <f t="shared" si="111"/>
        <v>0</v>
      </c>
      <c r="BP44" s="22"/>
      <c r="BQ44" s="22"/>
      <c r="BT44" s="22"/>
      <c r="BU44" s="22"/>
      <c r="BV44" s="22"/>
      <c r="BW44" s="22"/>
      <c r="BX44" s="22"/>
      <c r="BY44" s="22"/>
    </row>
    <row r="45" spans="2:139" ht="16.5" customHeight="1" thickBot="1" x14ac:dyDescent="0.3">
      <c r="C45" s="353"/>
      <c r="D45" s="354"/>
      <c r="F45" s="249">
        <f t="shared" ref="F45:G56" si="112">F19</f>
        <v>2019</v>
      </c>
      <c r="G45" s="249" t="str">
        <f t="shared" ca="1" si="112"/>
        <v>jan</v>
      </c>
      <c r="H45" s="3"/>
      <c r="I45" s="41">
        <f t="shared" ref="I45:I56" si="113">IF($D$40&gt;0,IF($I$44=$J$44,J45,J45/$J$41),0)</f>
        <v>0</v>
      </c>
      <c r="J45" s="259"/>
      <c r="K45" s="2"/>
      <c r="L45" s="41">
        <f t="shared" ref="L45:L56" si="114">IF($D$40&gt;1,IF($L$44=$M$44,M45,M45/$M$41),0)</f>
        <v>0</v>
      </c>
      <c r="M45" s="259"/>
      <c r="N45" s="2"/>
      <c r="O45" s="41">
        <f t="shared" ref="O45:O56" si="115">IF($D$40&gt;2,IF($O$44=$P$44,P45,P45/$P$41),0)</f>
        <v>0</v>
      </c>
      <c r="P45" s="300"/>
      <c r="Q45" s="2"/>
      <c r="R45" s="2"/>
      <c r="S45" s="2"/>
      <c r="T45" s="2"/>
      <c r="U45" s="2"/>
      <c r="V45" s="2"/>
      <c r="Y45" s="164">
        <f t="shared" ref="Y45:Y55" si="116">IF($J$40=$Y$43,I46,0)+IF($M$40=$Y$43,L46,0)+IF($P$40=$Y$43,O46,0)</f>
        <v>0</v>
      </c>
      <c r="Z45" s="164">
        <f t="shared" si="104"/>
        <v>0</v>
      </c>
      <c r="AA45" s="164">
        <f t="shared" si="105"/>
        <v>0</v>
      </c>
      <c r="AB45" s="163">
        <f t="shared" si="106"/>
        <v>0</v>
      </c>
      <c r="AC45" s="163">
        <f t="shared" si="107"/>
        <v>0</v>
      </c>
      <c r="AD45" s="163">
        <f t="shared" si="108"/>
        <v>0</v>
      </c>
      <c r="AF45" s="65"/>
      <c r="AG45" s="158">
        <f t="shared" ref="AG45:AK55" si="117">IF($D$41="Inkluderad i energi för tappvarmvatten",Y45*0.75,Y45)</f>
        <v>0</v>
      </c>
      <c r="AH45" s="164">
        <f t="shared" si="117"/>
        <v>0</v>
      </c>
      <c r="AI45" s="164">
        <f t="shared" si="117"/>
        <v>0</v>
      </c>
      <c r="AJ45" s="164">
        <f t="shared" si="117"/>
        <v>0</v>
      </c>
      <c r="AK45" s="164">
        <f t="shared" si="117"/>
        <v>0</v>
      </c>
      <c r="AL45" s="163">
        <f t="shared" si="109"/>
        <v>0</v>
      </c>
      <c r="AM45" s="128"/>
      <c r="AN45" s="164">
        <f t="shared" ref="AN45:AN55" si="118">IF($AG$58&gt;0,AG45*($Y$57/$Y$56),0)</f>
        <v>0</v>
      </c>
      <c r="AO45" s="164">
        <f t="shared" ref="AO45:AO55" si="119">IF($AH$58&gt;0,AH45*($Z$57/$Z$56),0)</f>
        <v>0</v>
      </c>
      <c r="AP45" s="164">
        <f t="shared" ref="AP45:AP55" si="120">IF($AI$58&gt;0,AI45*($AA$57/$AA$56),0)</f>
        <v>0</v>
      </c>
      <c r="AQ45" s="164">
        <f t="shared" ref="AQ45:AQ55" si="121">IF($AJ$58&gt;0,AJ45*($AB$57/$AB$56),0)</f>
        <v>0</v>
      </c>
      <c r="AR45" s="164">
        <f t="shared" ref="AR45:AR55" si="122">IF($AK$57&gt;0,AK45*($AC$57/$AC$56),0)</f>
        <v>0</v>
      </c>
      <c r="AS45" s="163">
        <f t="shared" ref="AS45:AS55" si="123">AN45+AO45+AP45+AQ45+AR45</f>
        <v>0</v>
      </c>
      <c r="AT45" s="163">
        <f t="shared" ref="AT45:AT55" si="124">IF($AN$58&gt;0,(AN45-$AN$58*(AC132+AE132+AG132))/$AN$57,0)+IF($AO$58&gt;0,(AO45-$AO$58*(AC132+AE132+AG132))/$AO$57,0)+IF($AP$58&gt;0,(AP45-$AP$58*(AC132+AE132+AG132))/$AP$57,0)+IF($AQ$58&gt;0,(AQ45-$AQ$58*(AC132+AE132+AG132))/$AQ$57,0)+IF($AR$58&gt;0,(AR45-$AR$58*(AC132+AE132+AG132))/$AR$57,0)</f>
        <v>0</v>
      </c>
      <c r="AU45" s="132">
        <f t="shared" si="110"/>
        <v>0</v>
      </c>
      <c r="AV45" s="237" t="str">
        <f t="shared" ref="AV45:AV55" si="125">IF(AT45&lt;0,"Fel i indata","")</f>
        <v/>
      </c>
      <c r="AW45" s="163">
        <f t="shared" ref="AW45:AW55" si="126">IF($AO$58&gt;0,(AO45/$AO$57-Y131),0)</f>
        <v>0</v>
      </c>
      <c r="AX45" s="237" t="str">
        <f t="shared" ref="AX45:AX55" si="127">IF(AW45&lt;0,"Fel i indata","")</f>
        <v/>
      </c>
      <c r="AY45" s="22"/>
      <c r="BA45" s="24" t="s">
        <v>1200</v>
      </c>
      <c r="BB45" s="47">
        <f>IF($BG$42&gt;0,BB42/$BG$42,0)</f>
        <v>0</v>
      </c>
      <c r="BC45" s="47">
        <f t="shared" ref="BC45:BF45" si="128">IF($BG$42&gt;0,BC42/$BG$42,0)</f>
        <v>0</v>
      </c>
      <c r="BD45" s="47">
        <f t="shared" si="128"/>
        <v>0</v>
      </c>
      <c r="BE45" s="47">
        <f t="shared" si="128"/>
        <v>0</v>
      </c>
      <c r="BF45" s="47">
        <f t="shared" si="128"/>
        <v>0</v>
      </c>
      <c r="BG45" s="22"/>
      <c r="BH45" s="22"/>
      <c r="BJ45" s="24" t="s">
        <v>1200</v>
      </c>
      <c r="BK45" s="47">
        <f>IF($BP$42&gt;0,BK42/$BP$42,0)</f>
        <v>0</v>
      </c>
      <c r="BL45" s="47">
        <f t="shared" ref="BL45:BO45" si="129">IF($BP$42&gt;0,BL42/$BP$42,0)</f>
        <v>0</v>
      </c>
      <c r="BM45" s="47">
        <f t="shared" si="129"/>
        <v>0</v>
      </c>
      <c r="BN45" s="47">
        <f t="shared" si="129"/>
        <v>0</v>
      </c>
      <c r="BO45" s="47">
        <f t="shared" si="129"/>
        <v>0</v>
      </c>
      <c r="BP45" s="22"/>
      <c r="BQ45" s="22"/>
      <c r="BT45" s="22"/>
      <c r="BU45" s="22"/>
      <c r="BV45" s="22"/>
      <c r="BW45" s="22"/>
      <c r="BX45" s="22"/>
      <c r="BY45" s="22"/>
      <c r="DC45" s="24" t="s">
        <v>1399</v>
      </c>
      <c r="DD45" s="32">
        <f>'Indata byggnad och BBR krav'!$AA$9</f>
        <v>0.06</v>
      </c>
      <c r="DE45" s="32">
        <f>'Indata byggnad och BBR krav'!$AA$8</f>
        <v>2.1999999999999999E-2</v>
      </c>
      <c r="DF45" s="32">
        <f>'Indata byggnad och BBR krav'!$AA$10</f>
        <v>2.1999999999999999E-2</v>
      </c>
      <c r="DG45" s="32">
        <f>'Indata byggnad och BBR krav'!$AA$11</f>
        <v>0.26369999999999999</v>
      </c>
      <c r="DH45" s="32">
        <f>'Indata byggnad och BBR krav'!$AA$12</f>
        <v>0.30130000000000001</v>
      </c>
      <c r="DI45" s="191"/>
      <c r="DL45" s="24" t="s">
        <v>1399</v>
      </c>
      <c r="DM45" s="32">
        <f>'Indata byggnad och BBR krav'!$AA$9</f>
        <v>0.06</v>
      </c>
      <c r="DN45" s="32">
        <f>'Indata byggnad och BBR krav'!$AA$8</f>
        <v>2.1999999999999999E-2</v>
      </c>
      <c r="DO45" s="32">
        <f>'Indata byggnad och BBR krav'!$AA$10</f>
        <v>2.1999999999999999E-2</v>
      </c>
      <c r="DP45" s="32">
        <f>'Indata byggnad och BBR krav'!$AA$11</f>
        <v>0.26369999999999999</v>
      </c>
      <c r="DQ45" s="32">
        <f>'Indata byggnad och BBR krav'!$AA$12</f>
        <v>0.30130000000000001</v>
      </c>
      <c r="DR45" s="191"/>
      <c r="EI45" s="80" t="str">
        <f>G155</f>
        <v>jan</v>
      </c>
    </row>
    <row r="46" spans="2:139" ht="16.5" customHeight="1" thickBot="1" x14ac:dyDescent="0.3">
      <c r="C46" s="353"/>
      <c r="D46" s="354"/>
      <c r="F46" s="249">
        <f t="shared" ca="1" si="112"/>
        <v>2019</v>
      </c>
      <c r="G46" s="249" t="str">
        <f t="shared" ca="1" si="112"/>
        <v>feb</v>
      </c>
      <c r="H46" s="3"/>
      <c r="I46" s="41">
        <f t="shared" si="113"/>
        <v>0</v>
      </c>
      <c r="J46" s="259"/>
      <c r="K46" s="2"/>
      <c r="L46" s="41">
        <f t="shared" si="114"/>
        <v>0</v>
      </c>
      <c r="M46" s="259"/>
      <c r="N46" s="2"/>
      <c r="O46" s="41">
        <f t="shared" si="115"/>
        <v>0</v>
      </c>
      <c r="P46" s="300"/>
      <c r="Q46" s="2"/>
      <c r="R46" s="2"/>
      <c r="S46" s="2"/>
      <c r="T46" s="2"/>
      <c r="U46" s="2"/>
      <c r="V46" s="2"/>
      <c r="Y46" s="164">
        <f t="shared" si="116"/>
        <v>0</v>
      </c>
      <c r="Z46" s="164">
        <f t="shared" si="104"/>
        <v>0</v>
      </c>
      <c r="AA46" s="164">
        <f t="shared" si="105"/>
        <v>0</v>
      </c>
      <c r="AB46" s="163">
        <f t="shared" si="106"/>
        <v>0</v>
      </c>
      <c r="AC46" s="163">
        <f t="shared" si="107"/>
        <v>0</v>
      </c>
      <c r="AD46" s="163">
        <f t="shared" si="108"/>
        <v>0</v>
      </c>
      <c r="AF46" s="65"/>
      <c r="AG46" s="158">
        <f t="shared" si="117"/>
        <v>0</v>
      </c>
      <c r="AH46" s="164">
        <f t="shared" si="117"/>
        <v>0</v>
      </c>
      <c r="AI46" s="164">
        <f t="shared" si="117"/>
        <v>0</v>
      </c>
      <c r="AJ46" s="164">
        <f t="shared" si="117"/>
        <v>0</v>
      </c>
      <c r="AK46" s="164">
        <f t="shared" si="117"/>
        <v>0</v>
      </c>
      <c r="AL46" s="163">
        <f t="shared" si="109"/>
        <v>0</v>
      </c>
      <c r="AM46" s="128"/>
      <c r="AN46" s="164">
        <f t="shared" si="118"/>
        <v>0</v>
      </c>
      <c r="AO46" s="164">
        <f t="shared" si="119"/>
        <v>0</v>
      </c>
      <c r="AP46" s="164">
        <f t="shared" si="120"/>
        <v>0</v>
      </c>
      <c r="AQ46" s="164">
        <f t="shared" si="121"/>
        <v>0</v>
      </c>
      <c r="AR46" s="164">
        <f t="shared" si="122"/>
        <v>0</v>
      </c>
      <c r="AS46" s="163">
        <f t="shared" si="123"/>
        <v>0</v>
      </c>
      <c r="AT46" s="163">
        <f t="shared" si="124"/>
        <v>0</v>
      </c>
      <c r="AU46" s="132">
        <f t="shared" si="110"/>
        <v>0</v>
      </c>
      <c r="AV46" s="237" t="str">
        <f t="shared" si="125"/>
        <v/>
      </c>
      <c r="AW46" s="163">
        <f t="shared" si="126"/>
        <v>0</v>
      </c>
      <c r="AX46" s="237" t="str">
        <f t="shared" si="127"/>
        <v/>
      </c>
      <c r="AY46" s="22"/>
      <c r="BG46" s="22"/>
      <c r="BH46" s="22"/>
      <c r="BP46" s="22"/>
      <c r="BQ46" s="22"/>
      <c r="BT46" s="22"/>
      <c r="BU46" s="22"/>
      <c r="BV46" s="22"/>
      <c r="BW46" s="22"/>
      <c r="BX46" s="22"/>
      <c r="BY46" s="22"/>
      <c r="DC46" s="298" t="s">
        <v>1408</v>
      </c>
      <c r="DD46" s="280">
        <f ca="1">DD40*1000/'Indata byggnad och BBR krav'!$C$40*'Indata byggnad och BBR krav'!$C$38*DD45</f>
        <v>0</v>
      </c>
      <c r="DE46" s="280">
        <f ca="1">DE40*1000/'Indata byggnad och BBR krav'!$C$40*'Indata byggnad och BBR krav'!$C$38*DE45</f>
        <v>0</v>
      </c>
      <c r="DF46" s="280">
        <f ca="1">DF40*1000/'Indata byggnad och BBR krav'!$C$40*'Indata byggnad och BBR krav'!$C$38*DF45</f>
        <v>0</v>
      </c>
      <c r="DG46" s="280">
        <f ca="1">DG40*1000/'Indata byggnad och BBR krav'!$C$40*'Indata byggnad och BBR krav'!$C$38*DG45</f>
        <v>0</v>
      </c>
      <c r="DH46" s="284">
        <f ca="1">DH40*1000/'Indata byggnad och BBR krav'!$C$40*'Indata byggnad och BBR krav'!$C$38*DH45</f>
        <v>0</v>
      </c>
      <c r="DI46" s="281">
        <f ca="1">SUM(DD46:DH46)</f>
        <v>0</v>
      </c>
      <c r="DJ46" s="190"/>
      <c r="DL46" s="298" t="s">
        <v>1408</v>
      </c>
      <c r="DM46" s="280">
        <f ca="1">DM40*1000/'Indata byggnad och BBR krav'!$C$40*'Indata byggnad och BBR krav'!$C$38*DM45</f>
        <v>0</v>
      </c>
      <c r="DN46" s="280">
        <f ca="1">DN40*1000/'Indata byggnad och BBR krav'!$C$40*'Indata byggnad och BBR krav'!$C$38*DN45</f>
        <v>0</v>
      </c>
      <c r="DO46" s="280">
        <f ca="1">DO40*1000/'Indata byggnad och BBR krav'!$C$40*'Indata byggnad och BBR krav'!$C$38*DO45</f>
        <v>0</v>
      </c>
      <c r="DP46" s="280">
        <f ca="1">DP40*1000/'Indata byggnad och BBR krav'!$C$40*'Indata byggnad och BBR krav'!$C$38*DP45</f>
        <v>0</v>
      </c>
      <c r="DQ46" s="284">
        <f ca="1">DQ40*1000/'Indata byggnad och BBR krav'!$C$40*'Indata byggnad och BBR krav'!$C$38*DQ45</f>
        <v>0</v>
      </c>
      <c r="DR46" s="281">
        <f ca="1">SUM(DM46:DQ46)</f>
        <v>0</v>
      </c>
      <c r="EI46" s="80">
        <f>MATCH(EI45,EI3:EI14,0)</f>
        <v>1</v>
      </c>
    </row>
    <row r="47" spans="2:139" ht="16.5" customHeight="1" thickBot="1" x14ac:dyDescent="0.3">
      <c r="C47" s="355"/>
      <c r="D47" s="356"/>
      <c r="F47" s="249">
        <f t="shared" ca="1" si="112"/>
        <v>2019</v>
      </c>
      <c r="G47" s="249" t="str">
        <f t="shared" ca="1" si="112"/>
        <v>mars</v>
      </c>
      <c r="H47" s="3"/>
      <c r="I47" s="41">
        <f t="shared" si="113"/>
        <v>0</v>
      </c>
      <c r="J47" s="259"/>
      <c r="K47" s="2"/>
      <c r="L47" s="41">
        <f t="shared" si="114"/>
        <v>0</v>
      </c>
      <c r="M47" s="259"/>
      <c r="N47" s="2"/>
      <c r="O47" s="41">
        <f t="shared" si="115"/>
        <v>0</v>
      </c>
      <c r="P47" s="300"/>
      <c r="Q47" s="2"/>
      <c r="R47" s="2"/>
      <c r="S47" s="2"/>
      <c r="T47" s="2"/>
      <c r="U47" s="2"/>
      <c r="V47" s="2"/>
      <c r="Y47" s="164">
        <f t="shared" si="116"/>
        <v>0</v>
      </c>
      <c r="Z47" s="164">
        <f t="shared" si="104"/>
        <v>0</v>
      </c>
      <c r="AA47" s="164">
        <f t="shared" si="105"/>
        <v>0</v>
      </c>
      <c r="AB47" s="163">
        <f t="shared" si="106"/>
        <v>0</v>
      </c>
      <c r="AC47" s="163">
        <f t="shared" si="107"/>
        <v>0</v>
      </c>
      <c r="AD47" s="163">
        <f t="shared" si="108"/>
        <v>0</v>
      </c>
      <c r="AF47" s="65"/>
      <c r="AG47" s="158">
        <f t="shared" si="117"/>
        <v>0</v>
      </c>
      <c r="AH47" s="164">
        <f t="shared" si="117"/>
        <v>0</v>
      </c>
      <c r="AI47" s="164">
        <f t="shared" si="117"/>
        <v>0</v>
      </c>
      <c r="AJ47" s="164">
        <f t="shared" si="117"/>
        <v>0</v>
      </c>
      <c r="AK47" s="164">
        <f t="shared" si="117"/>
        <v>0</v>
      </c>
      <c r="AL47" s="163">
        <f t="shared" si="109"/>
        <v>0</v>
      </c>
      <c r="AM47" s="128"/>
      <c r="AN47" s="164">
        <f t="shared" si="118"/>
        <v>0</v>
      </c>
      <c r="AO47" s="164">
        <f t="shared" si="119"/>
        <v>0</v>
      </c>
      <c r="AP47" s="164">
        <f t="shared" si="120"/>
        <v>0</v>
      </c>
      <c r="AQ47" s="164">
        <f t="shared" si="121"/>
        <v>0</v>
      </c>
      <c r="AR47" s="164">
        <f t="shared" si="122"/>
        <v>0</v>
      </c>
      <c r="AS47" s="163">
        <f t="shared" si="123"/>
        <v>0</v>
      </c>
      <c r="AT47" s="163">
        <f t="shared" si="124"/>
        <v>0</v>
      </c>
      <c r="AU47" s="132">
        <f t="shared" si="110"/>
        <v>0</v>
      </c>
      <c r="AV47" s="237" t="str">
        <f t="shared" si="125"/>
        <v/>
      </c>
      <c r="AW47" s="163">
        <f t="shared" si="126"/>
        <v>0</v>
      </c>
      <c r="AX47" s="237" t="str">
        <f t="shared" si="127"/>
        <v/>
      </c>
      <c r="AY47" s="22"/>
      <c r="BA47" s="24" t="s">
        <v>1164</v>
      </c>
      <c r="BB47" s="22">
        <v>25</v>
      </c>
      <c r="BC47" s="22"/>
      <c r="BD47" s="22"/>
      <c r="BE47" s="22"/>
      <c r="BF47" s="22"/>
      <c r="BG47" s="22"/>
      <c r="BH47" s="22"/>
      <c r="BJ47" s="24" t="s">
        <v>1164</v>
      </c>
      <c r="BK47" s="22">
        <v>25</v>
      </c>
      <c r="BL47" s="22"/>
      <c r="BM47" s="22"/>
      <c r="BN47" s="22"/>
      <c r="BO47" s="22"/>
      <c r="BP47" s="22"/>
      <c r="BQ47" s="22"/>
      <c r="BT47" s="22"/>
      <c r="BU47" s="22"/>
      <c r="BV47" s="22"/>
      <c r="BW47" s="22"/>
      <c r="BX47" s="22"/>
      <c r="BY47" s="22"/>
      <c r="DC47" s="299" t="s">
        <v>1448</v>
      </c>
      <c r="DD47" s="280">
        <f ca="1">DD40*1000/'Indata byggnad och BBR krav'!$C$16*'Indata byggnad och BBR krav'!$C$38*DD45</f>
        <v>0</v>
      </c>
      <c r="DE47" s="280">
        <f ca="1">DE40*1000/'Indata byggnad och BBR krav'!$C$16*'Indata byggnad och BBR krav'!$C$38*DE45</f>
        <v>0</v>
      </c>
      <c r="DF47" s="280">
        <f ca="1">DF40*1000/'Indata byggnad och BBR krav'!$C$16*'Indata byggnad och BBR krav'!$C$38*DF45</f>
        <v>0</v>
      </c>
      <c r="DG47" s="280">
        <f ca="1">DG40*1000/'Indata byggnad och BBR krav'!$C$16*'Indata byggnad och BBR krav'!$C$38*DG45</f>
        <v>0</v>
      </c>
      <c r="DH47" s="284">
        <f ca="1">DH40*1000/'Indata byggnad och BBR krav'!$C$16*'Indata byggnad och BBR krav'!$C$38*DH45</f>
        <v>0</v>
      </c>
      <c r="DI47" s="281">
        <f t="shared" ref="DI47:DI48" ca="1" si="130">SUM(DD47:DH47)</f>
        <v>0</v>
      </c>
      <c r="DL47" s="299" t="s">
        <v>1448</v>
      </c>
      <c r="DM47" s="280">
        <f ca="1">DM40*1000/'Indata byggnad och BBR krav'!$C$16*'Indata byggnad och BBR krav'!$C$38*DM45</f>
        <v>0</v>
      </c>
      <c r="DN47" s="280">
        <f ca="1">DN40*1000/'Indata byggnad och BBR krav'!$C$16*'Indata byggnad och BBR krav'!$C$38*DN45</f>
        <v>0</v>
      </c>
      <c r="DO47" s="280">
        <f ca="1">DO40*1000/'Indata byggnad och BBR krav'!$C$16*'Indata byggnad och BBR krav'!$C$38*DO45</f>
        <v>0</v>
      </c>
      <c r="DP47" s="280">
        <f ca="1">DP40*1000/'Indata byggnad och BBR krav'!$C$16*'Indata byggnad och BBR krav'!$C$38*DP45</f>
        <v>0</v>
      </c>
      <c r="DQ47" s="284">
        <f ca="1">DQ40*1000/'Indata byggnad och BBR krav'!$C$16*'Indata byggnad och BBR krav'!$C$38*DQ45</f>
        <v>0</v>
      </c>
      <c r="DR47" s="281">
        <f t="shared" ref="DR47:DR48" ca="1" si="131">SUM(DM47:DQ47)</f>
        <v>0</v>
      </c>
    </row>
    <row r="48" spans="2:139" ht="16.5" customHeight="1" thickBot="1" x14ac:dyDescent="0.3">
      <c r="F48" s="249">
        <f t="shared" ca="1" si="112"/>
        <v>2019</v>
      </c>
      <c r="G48" s="249" t="str">
        <f t="shared" ca="1" si="112"/>
        <v>apr</v>
      </c>
      <c r="H48" s="3"/>
      <c r="I48" s="41">
        <f t="shared" si="113"/>
        <v>0</v>
      </c>
      <c r="J48" s="259"/>
      <c r="K48" s="2"/>
      <c r="L48" s="41">
        <f t="shared" si="114"/>
        <v>0</v>
      </c>
      <c r="M48" s="259"/>
      <c r="N48" s="2"/>
      <c r="O48" s="41">
        <f t="shared" si="115"/>
        <v>0</v>
      </c>
      <c r="P48" s="300"/>
      <c r="Q48" s="2"/>
      <c r="R48" s="2"/>
      <c r="S48" s="2"/>
      <c r="T48" s="2"/>
      <c r="U48" s="2"/>
      <c r="V48" s="2"/>
      <c r="Y48" s="164">
        <f t="shared" si="116"/>
        <v>0</v>
      </c>
      <c r="Z48" s="164">
        <f t="shared" si="104"/>
        <v>0</v>
      </c>
      <c r="AA48" s="164">
        <f t="shared" si="105"/>
        <v>0</v>
      </c>
      <c r="AB48" s="163">
        <f t="shared" si="106"/>
        <v>0</v>
      </c>
      <c r="AC48" s="163">
        <f t="shared" si="107"/>
        <v>0</v>
      </c>
      <c r="AD48" s="163">
        <f t="shared" si="108"/>
        <v>0</v>
      </c>
      <c r="AF48" s="65"/>
      <c r="AG48" s="158">
        <f t="shared" si="117"/>
        <v>0</v>
      </c>
      <c r="AH48" s="164">
        <f t="shared" si="117"/>
        <v>0</v>
      </c>
      <c r="AI48" s="164">
        <f t="shared" si="117"/>
        <v>0</v>
      </c>
      <c r="AJ48" s="164">
        <f t="shared" si="117"/>
        <v>0</v>
      </c>
      <c r="AK48" s="164">
        <f t="shared" si="117"/>
        <v>0</v>
      </c>
      <c r="AL48" s="163">
        <f t="shared" si="109"/>
        <v>0</v>
      </c>
      <c r="AM48" s="128"/>
      <c r="AN48" s="164">
        <f t="shared" si="118"/>
        <v>0</v>
      </c>
      <c r="AO48" s="164">
        <f t="shared" si="119"/>
        <v>0</v>
      </c>
      <c r="AP48" s="164">
        <f t="shared" si="120"/>
        <v>0</v>
      </c>
      <c r="AQ48" s="164">
        <f t="shared" si="121"/>
        <v>0</v>
      </c>
      <c r="AR48" s="164">
        <f t="shared" si="122"/>
        <v>0</v>
      </c>
      <c r="AS48" s="163">
        <f t="shared" si="123"/>
        <v>0</v>
      </c>
      <c r="AT48" s="163">
        <f t="shared" si="124"/>
        <v>0</v>
      </c>
      <c r="AU48" s="132">
        <f t="shared" si="110"/>
        <v>0</v>
      </c>
      <c r="AV48" s="237" t="str">
        <f t="shared" si="125"/>
        <v/>
      </c>
      <c r="AW48" s="163">
        <f t="shared" si="126"/>
        <v>0</v>
      </c>
      <c r="AX48" s="237" t="str">
        <f t="shared" si="127"/>
        <v/>
      </c>
      <c r="AY48" s="22"/>
      <c r="BA48" s="24" t="s">
        <v>1430</v>
      </c>
      <c r="BB48" s="22">
        <f>'Indata byggnad och BBR krav'!$C$17</f>
        <v>50</v>
      </c>
      <c r="BC48" s="22"/>
      <c r="BD48" s="22"/>
      <c r="BE48" s="22"/>
      <c r="BF48" s="22"/>
      <c r="BG48" s="22"/>
      <c r="BH48" s="22"/>
      <c r="BJ48" s="24" t="s">
        <v>1430</v>
      </c>
      <c r="BK48" s="22">
        <f>'Indata byggnad och BBR krav'!$C$17</f>
        <v>50</v>
      </c>
      <c r="BL48" s="22"/>
      <c r="BM48" s="22"/>
      <c r="BN48" s="22"/>
      <c r="BO48" s="22"/>
      <c r="BP48" s="22"/>
      <c r="BQ48" s="22"/>
      <c r="BT48" s="22"/>
      <c r="BU48" s="22"/>
      <c r="BV48" s="22"/>
      <c r="BW48" s="22"/>
      <c r="BX48" s="22"/>
      <c r="BY48" s="22"/>
      <c r="DC48" s="299" t="s">
        <v>1449</v>
      </c>
      <c r="DD48" s="282">
        <f ca="1">DD46/50</f>
        <v>0</v>
      </c>
      <c r="DE48" s="282">
        <f t="shared" ref="DE48:DH48" ca="1" si="132">DE46/50</f>
        <v>0</v>
      </c>
      <c r="DF48" s="282">
        <f t="shared" ca="1" si="132"/>
        <v>0</v>
      </c>
      <c r="DG48" s="282">
        <f t="shared" ca="1" si="132"/>
        <v>0</v>
      </c>
      <c r="DH48" s="282">
        <f t="shared" ca="1" si="132"/>
        <v>0</v>
      </c>
      <c r="DI48" s="283">
        <f t="shared" ca="1" si="130"/>
        <v>0</v>
      </c>
      <c r="DL48" s="299" t="s">
        <v>1449</v>
      </c>
      <c r="DM48" s="282">
        <f ca="1">DM46/50</f>
        <v>0</v>
      </c>
      <c r="DN48" s="282">
        <f t="shared" ref="DN48:DQ48" ca="1" si="133">DN46/50</f>
        <v>0</v>
      </c>
      <c r="DO48" s="282">
        <f t="shared" ca="1" si="133"/>
        <v>0</v>
      </c>
      <c r="DP48" s="282">
        <f t="shared" ca="1" si="133"/>
        <v>0</v>
      </c>
      <c r="DQ48" s="282">
        <f t="shared" ca="1" si="133"/>
        <v>0</v>
      </c>
      <c r="DR48" s="283">
        <f t="shared" ca="1" si="131"/>
        <v>0</v>
      </c>
    </row>
    <row r="49" spans="4:77" ht="16.5" customHeight="1" x14ac:dyDescent="0.25">
      <c r="F49" s="249">
        <f t="shared" ca="1" si="112"/>
        <v>2019</v>
      </c>
      <c r="G49" s="249" t="str">
        <f t="shared" ca="1" si="112"/>
        <v>maj</v>
      </c>
      <c r="H49" s="3"/>
      <c r="I49" s="41">
        <f t="shared" si="113"/>
        <v>0</v>
      </c>
      <c r="J49" s="259"/>
      <c r="K49" s="2"/>
      <c r="L49" s="41">
        <f t="shared" si="114"/>
        <v>0</v>
      </c>
      <c r="M49" s="259"/>
      <c r="N49" s="2"/>
      <c r="O49" s="41">
        <f t="shared" si="115"/>
        <v>0</v>
      </c>
      <c r="P49" s="300"/>
      <c r="Q49" s="2"/>
      <c r="R49" s="2"/>
      <c r="S49" s="2"/>
      <c r="T49" s="2"/>
      <c r="U49" s="2"/>
      <c r="V49" s="2"/>
      <c r="Y49" s="164">
        <f t="shared" si="116"/>
        <v>0</v>
      </c>
      <c r="Z49" s="164">
        <f t="shared" si="104"/>
        <v>0</v>
      </c>
      <c r="AA49" s="164">
        <f t="shared" si="105"/>
        <v>0</v>
      </c>
      <c r="AB49" s="163">
        <f t="shared" si="106"/>
        <v>0</v>
      </c>
      <c r="AC49" s="163">
        <f t="shared" si="107"/>
        <v>0</v>
      </c>
      <c r="AD49" s="163">
        <f t="shared" si="108"/>
        <v>0</v>
      </c>
      <c r="AF49" s="65"/>
      <c r="AG49" s="158">
        <f t="shared" si="117"/>
        <v>0</v>
      </c>
      <c r="AH49" s="164">
        <f t="shared" si="117"/>
        <v>0</v>
      </c>
      <c r="AI49" s="164">
        <f t="shared" si="117"/>
        <v>0</v>
      </c>
      <c r="AJ49" s="164">
        <f t="shared" si="117"/>
        <v>0</v>
      </c>
      <c r="AK49" s="164">
        <f t="shared" si="117"/>
        <v>0</v>
      </c>
      <c r="AL49" s="163">
        <f t="shared" si="109"/>
        <v>0</v>
      </c>
      <c r="AM49" s="128"/>
      <c r="AN49" s="164">
        <f t="shared" si="118"/>
        <v>0</v>
      </c>
      <c r="AO49" s="164">
        <f t="shared" si="119"/>
        <v>0</v>
      </c>
      <c r="AP49" s="164">
        <f t="shared" si="120"/>
        <v>0</v>
      </c>
      <c r="AQ49" s="164">
        <f t="shared" si="121"/>
        <v>0</v>
      </c>
      <c r="AR49" s="164">
        <f t="shared" si="122"/>
        <v>0</v>
      </c>
      <c r="AS49" s="163">
        <f t="shared" si="123"/>
        <v>0</v>
      </c>
      <c r="AT49" s="163">
        <f t="shared" si="124"/>
        <v>0</v>
      </c>
      <c r="AU49" s="132">
        <f t="shared" si="110"/>
        <v>0</v>
      </c>
      <c r="AV49" s="237" t="str">
        <f t="shared" si="125"/>
        <v/>
      </c>
      <c r="AW49" s="163">
        <f t="shared" si="126"/>
        <v>0</v>
      </c>
      <c r="AX49" s="237" t="str">
        <f t="shared" si="127"/>
        <v/>
      </c>
      <c r="AY49" s="22"/>
      <c r="BA49" s="24"/>
      <c r="BB49" s="22"/>
      <c r="BC49" s="22"/>
      <c r="BD49" s="22"/>
      <c r="BE49" s="22"/>
      <c r="BF49" s="22"/>
      <c r="BG49" s="22"/>
      <c r="BH49" s="22"/>
      <c r="BJ49" s="24"/>
      <c r="BK49" s="22"/>
      <c r="BL49" s="22"/>
      <c r="BM49" s="22"/>
      <c r="BN49" s="22"/>
      <c r="BO49" s="22"/>
      <c r="BP49" s="22"/>
      <c r="BQ49" s="22"/>
      <c r="BT49" s="22"/>
      <c r="BU49" s="22"/>
      <c r="BV49" s="22"/>
      <c r="BW49" s="22"/>
      <c r="BX49" s="22"/>
      <c r="BY49" s="22"/>
    </row>
    <row r="50" spans="4:77" ht="16.5" customHeight="1" x14ac:dyDescent="0.25">
      <c r="F50" s="249">
        <f t="shared" ca="1" si="112"/>
        <v>2019</v>
      </c>
      <c r="G50" s="249" t="str">
        <f t="shared" ca="1" si="112"/>
        <v xml:space="preserve">jun </v>
      </c>
      <c r="H50" s="3"/>
      <c r="I50" s="41">
        <f t="shared" si="113"/>
        <v>0</v>
      </c>
      <c r="J50" s="259"/>
      <c r="K50" s="2"/>
      <c r="L50" s="41">
        <f t="shared" si="114"/>
        <v>0</v>
      </c>
      <c r="M50" s="259"/>
      <c r="N50" s="2"/>
      <c r="O50" s="41">
        <f t="shared" si="115"/>
        <v>0</v>
      </c>
      <c r="P50" s="300"/>
      <c r="Q50" s="2"/>
      <c r="R50" s="2"/>
      <c r="S50" s="2"/>
      <c r="T50" s="2"/>
      <c r="U50" s="2"/>
      <c r="V50" s="2"/>
      <c r="Y50" s="164">
        <f t="shared" si="116"/>
        <v>0</v>
      </c>
      <c r="Z50" s="164">
        <f t="shared" si="104"/>
        <v>0</v>
      </c>
      <c r="AA50" s="164">
        <f t="shared" si="105"/>
        <v>0</v>
      </c>
      <c r="AB50" s="163">
        <f t="shared" si="106"/>
        <v>0</v>
      </c>
      <c r="AC50" s="163">
        <f t="shared" si="107"/>
        <v>0</v>
      </c>
      <c r="AD50" s="163">
        <f t="shared" si="108"/>
        <v>0</v>
      </c>
      <c r="AF50" s="65"/>
      <c r="AG50" s="158">
        <f t="shared" si="117"/>
        <v>0</v>
      </c>
      <c r="AH50" s="164">
        <f t="shared" si="117"/>
        <v>0</v>
      </c>
      <c r="AI50" s="164">
        <f t="shared" si="117"/>
        <v>0</v>
      </c>
      <c r="AJ50" s="164">
        <f t="shared" si="117"/>
        <v>0</v>
      </c>
      <c r="AK50" s="164">
        <f t="shared" si="117"/>
        <v>0</v>
      </c>
      <c r="AL50" s="163">
        <f t="shared" si="109"/>
        <v>0</v>
      </c>
      <c r="AM50" s="128"/>
      <c r="AN50" s="164">
        <f t="shared" si="118"/>
        <v>0</v>
      </c>
      <c r="AO50" s="164">
        <f t="shared" si="119"/>
        <v>0</v>
      </c>
      <c r="AP50" s="164">
        <f t="shared" si="120"/>
        <v>0</v>
      </c>
      <c r="AQ50" s="164">
        <f t="shared" si="121"/>
        <v>0</v>
      </c>
      <c r="AR50" s="164">
        <f t="shared" si="122"/>
        <v>0</v>
      </c>
      <c r="AS50" s="163">
        <f t="shared" si="123"/>
        <v>0</v>
      </c>
      <c r="AT50" s="163">
        <f t="shared" si="124"/>
        <v>0</v>
      </c>
      <c r="AU50" s="132">
        <f t="shared" si="110"/>
        <v>0</v>
      </c>
      <c r="AV50" s="237" t="str">
        <f t="shared" si="125"/>
        <v/>
      </c>
      <c r="AW50" s="163">
        <f t="shared" si="126"/>
        <v>0</v>
      </c>
      <c r="AX50" s="237" t="str">
        <f t="shared" si="127"/>
        <v/>
      </c>
      <c r="AY50" s="22"/>
      <c r="BA50" s="24" t="s">
        <v>1432</v>
      </c>
      <c r="BB50" s="22">
        <v>2</v>
      </c>
      <c r="BC50" s="22"/>
      <c r="BD50" s="22"/>
      <c r="BE50" s="22"/>
      <c r="BF50" s="22"/>
      <c r="BG50" s="22"/>
      <c r="BH50" s="22"/>
      <c r="BJ50" s="24" t="s">
        <v>1432</v>
      </c>
      <c r="BK50" s="22">
        <v>2</v>
      </c>
      <c r="BL50" s="22"/>
      <c r="BM50" s="22"/>
      <c r="BN50" s="22"/>
      <c r="BO50" s="22"/>
      <c r="BP50" s="22"/>
      <c r="BQ50" s="22"/>
      <c r="BT50" s="22"/>
      <c r="BU50" s="22"/>
      <c r="BV50" s="22"/>
      <c r="BW50" s="22"/>
      <c r="BX50" s="22"/>
      <c r="BY50" s="22"/>
    </row>
    <row r="51" spans="4:77" ht="16.5" customHeight="1" x14ac:dyDescent="0.25">
      <c r="F51" s="249">
        <f t="shared" ca="1" si="112"/>
        <v>2019</v>
      </c>
      <c r="G51" s="249" t="str">
        <f t="shared" ca="1" si="112"/>
        <v>jul</v>
      </c>
      <c r="H51" s="3"/>
      <c r="I51" s="41">
        <f t="shared" si="113"/>
        <v>0</v>
      </c>
      <c r="J51" s="259"/>
      <c r="K51" s="2"/>
      <c r="L51" s="41">
        <f t="shared" si="114"/>
        <v>0</v>
      </c>
      <c r="M51" s="259"/>
      <c r="N51" s="2"/>
      <c r="O51" s="41">
        <f t="shared" si="115"/>
        <v>0</v>
      </c>
      <c r="P51" s="300"/>
      <c r="Q51" s="2"/>
      <c r="R51" s="2"/>
      <c r="S51" s="2"/>
      <c r="T51" s="2"/>
      <c r="U51" s="2"/>
      <c r="V51" s="2"/>
      <c r="Y51" s="164">
        <f t="shared" si="116"/>
        <v>0</v>
      </c>
      <c r="Z51" s="164">
        <f t="shared" si="104"/>
        <v>0</v>
      </c>
      <c r="AA51" s="164">
        <f t="shared" si="105"/>
        <v>0</v>
      </c>
      <c r="AB51" s="163">
        <f t="shared" si="106"/>
        <v>0</v>
      </c>
      <c r="AC51" s="163">
        <f t="shared" si="107"/>
        <v>0</v>
      </c>
      <c r="AD51" s="163">
        <f t="shared" si="108"/>
        <v>0</v>
      </c>
      <c r="AF51" s="65"/>
      <c r="AG51" s="158">
        <f t="shared" si="117"/>
        <v>0</v>
      </c>
      <c r="AH51" s="164">
        <f t="shared" si="117"/>
        <v>0</v>
      </c>
      <c r="AI51" s="164">
        <f t="shared" si="117"/>
        <v>0</v>
      </c>
      <c r="AJ51" s="164">
        <f t="shared" si="117"/>
        <v>0</v>
      </c>
      <c r="AK51" s="164">
        <f t="shared" si="117"/>
        <v>0</v>
      </c>
      <c r="AL51" s="163">
        <f t="shared" si="109"/>
        <v>0</v>
      </c>
      <c r="AM51" s="128"/>
      <c r="AN51" s="164">
        <f t="shared" si="118"/>
        <v>0</v>
      </c>
      <c r="AO51" s="164">
        <f t="shared" si="119"/>
        <v>0</v>
      </c>
      <c r="AP51" s="164">
        <f t="shared" si="120"/>
        <v>0</v>
      </c>
      <c r="AQ51" s="164">
        <f t="shared" si="121"/>
        <v>0</v>
      </c>
      <c r="AR51" s="164">
        <f t="shared" si="122"/>
        <v>0</v>
      </c>
      <c r="AS51" s="163">
        <f t="shared" si="123"/>
        <v>0</v>
      </c>
      <c r="AT51" s="163">
        <f t="shared" si="124"/>
        <v>0</v>
      </c>
      <c r="AU51" s="132">
        <f t="shared" si="110"/>
        <v>0</v>
      </c>
      <c r="AV51" s="237" t="str">
        <f t="shared" si="125"/>
        <v/>
      </c>
      <c r="AW51" s="163">
        <f t="shared" si="126"/>
        <v>0</v>
      </c>
      <c r="AX51" s="237" t="str">
        <f t="shared" si="127"/>
        <v/>
      </c>
      <c r="AY51" s="22"/>
      <c r="BA51" s="24" t="s">
        <v>1431</v>
      </c>
      <c r="BB51" s="22">
        <f>'Indata byggnad och BBR krav'!$C$18</f>
        <v>50</v>
      </c>
      <c r="BC51" s="22"/>
      <c r="BD51" s="22"/>
      <c r="BE51" s="22"/>
      <c r="BF51" s="22"/>
      <c r="BG51" s="22"/>
      <c r="BH51" s="22"/>
      <c r="BJ51" s="24" t="s">
        <v>1431</v>
      </c>
      <c r="BK51" s="22">
        <f>'Indata byggnad och BBR krav'!$C$18</f>
        <v>50</v>
      </c>
      <c r="BL51" s="22"/>
      <c r="BM51" s="22"/>
      <c r="BN51" s="22"/>
      <c r="BO51" s="22"/>
      <c r="BP51" s="22"/>
      <c r="BQ51" s="22"/>
      <c r="BT51" s="27"/>
      <c r="BU51" s="27"/>
      <c r="BV51" s="27"/>
      <c r="BW51" s="27"/>
      <c r="BX51" s="27"/>
      <c r="BY51" s="27"/>
    </row>
    <row r="52" spans="4:77" ht="16.5" customHeight="1" x14ac:dyDescent="0.25">
      <c r="F52" s="249">
        <f t="shared" ca="1" si="112"/>
        <v>2019</v>
      </c>
      <c r="G52" s="249" t="str">
        <f t="shared" ca="1" si="112"/>
        <v>aug</v>
      </c>
      <c r="H52" s="3"/>
      <c r="I52" s="41">
        <f t="shared" si="113"/>
        <v>0</v>
      </c>
      <c r="J52" s="259"/>
      <c r="K52" s="2"/>
      <c r="L52" s="41">
        <f t="shared" si="114"/>
        <v>0</v>
      </c>
      <c r="M52" s="259"/>
      <c r="N52" s="2"/>
      <c r="O52" s="41">
        <f t="shared" si="115"/>
        <v>0</v>
      </c>
      <c r="P52" s="300"/>
      <c r="Q52" s="2"/>
      <c r="R52" s="2"/>
      <c r="S52" s="2"/>
      <c r="T52" s="2"/>
      <c r="U52" s="2"/>
      <c r="V52" s="2"/>
      <c r="Y52" s="164">
        <f t="shared" si="116"/>
        <v>0</v>
      </c>
      <c r="Z52" s="164">
        <f t="shared" si="104"/>
        <v>0</v>
      </c>
      <c r="AA52" s="164">
        <f t="shared" si="105"/>
        <v>0</v>
      </c>
      <c r="AB52" s="163">
        <f t="shared" si="106"/>
        <v>0</v>
      </c>
      <c r="AC52" s="163">
        <f t="shared" si="107"/>
        <v>0</v>
      </c>
      <c r="AD52" s="163">
        <f t="shared" si="108"/>
        <v>0</v>
      </c>
      <c r="AF52" s="65"/>
      <c r="AG52" s="158">
        <f t="shared" si="117"/>
        <v>0</v>
      </c>
      <c r="AH52" s="164">
        <f t="shared" si="117"/>
        <v>0</v>
      </c>
      <c r="AI52" s="164">
        <f t="shared" si="117"/>
        <v>0</v>
      </c>
      <c r="AJ52" s="164">
        <f t="shared" si="117"/>
        <v>0</v>
      </c>
      <c r="AK52" s="164">
        <f t="shared" si="117"/>
        <v>0</v>
      </c>
      <c r="AL52" s="163">
        <f t="shared" si="109"/>
        <v>0</v>
      </c>
      <c r="AM52" s="128"/>
      <c r="AN52" s="164">
        <f t="shared" si="118"/>
        <v>0</v>
      </c>
      <c r="AO52" s="164">
        <f t="shared" si="119"/>
        <v>0</v>
      </c>
      <c r="AP52" s="164">
        <f t="shared" si="120"/>
        <v>0</v>
      </c>
      <c r="AQ52" s="164">
        <f t="shared" si="121"/>
        <v>0</v>
      </c>
      <c r="AR52" s="164">
        <f t="shared" si="122"/>
        <v>0</v>
      </c>
      <c r="AS52" s="163">
        <f t="shared" si="123"/>
        <v>0</v>
      </c>
      <c r="AT52" s="163">
        <f t="shared" si="124"/>
        <v>0</v>
      </c>
      <c r="AU52" s="132">
        <f t="shared" si="110"/>
        <v>0</v>
      </c>
      <c r="AV52" s="237" t="str">
        <f t="shared" si="125"/>
        <v/>
      </c>
      <c r="AW52" s="163">
        <f t="shared" si="126"/>
        <v>0</v>
      </c>
      <c r="AX52" s="237" t="str">
        <f t="shared" si="127"/>
        <v/>
      </c>
      <c r="AY52" s="22"/>
      <c r="BA52" s="24"/>
      <c r="BG52" s="22"/>
      <c r="BH52" s="22"/>
      <c r="BJ52" s="24"/>
      <c r="BP52" s="22"/>
      <c r="BQ52" s="22"/>
      <c r="BT52" s="27"/>
      <c r="BU52" s="27"/>
      <c r="BV52" s="27"/>
      <c r="BW52" s="27"/>
      <c r="BX52" s="27"/>
      <c r="BY52" s="27"/>
    </row>
    <row r="53" spans="4:77" ht="16.5" customHeight="1" x14ac:dyDescent="0.25">
      <c r="F53" s="249">
        <f t="shared" ca="1" si="112"/>
        <v>2019</v>
      </c>
      <c r="G53" s="249" t="str">
        <f t="shared" ca="1" si="112"/>
        <v>sept</v>
      </c>
      <c r="H53" s="3"/>
      <c r="I53" s="41">
        <f t="shared" si="113"/>
        <v>0</v>
      </c>
      <c r="J53" s="259"/>
      <c r="K53" s="2"/>
      <c r="L53" s="41">
        <f t="shared" si="114"/>
        <v>0</v>
      </c>
      <c r="M53" s="259"/>
      <c r="N53" s="2"/>
      <c r="O53" s="41">
        <f t="shared" si="115"/>
        <v>0</v>
      </c>
      <c r="P53" s="300"/>
      <c r="Q53" s="2"/>
      <c r="R53" s="2"/>
      <c r="S53" s="2"/>
      <c r="T53" s="2"/>
      <c r="U53" s="2"/>
      <c r="V53" s="2"/>
      <c r="Y53" s="164">
        <f t="shared" si="116"/>
        <v>0</v>
      </c>
      <c r="Z53" s="164">
        <f t="shared" si="104"/>
        <v>0</v>
      </c>
      <c r="AA53" s="164">
        <f t="shared" si="105"/>
        <v>0</v>
      </c>
      <c r="AB53" s="163">
        <f t="shared" si="106"/>
        <v>0</v>
      </c>
      <c r="AC53" s="163">
        <f t="shared" si="107"/>
        <v>0</v>
      </c>
      <c r="AD53" s="163">
        <f t="shared" si="108"/>
        <v>0</v>
      </c>
      <c r="AF53" s="65"/>
      <c r="AG53" s="158">
        <f t="shared" si="117"/>
        <v>0</v>
      </c>
      <c r="AH53" s="164">
        <f t="shared" si="117"/>
        <v>0</v>
      </c>
      <c r="AI53" s="164">
        <f t="shared" si="117"/>
        <v>0</v>
      </c>
      <c r="AJ53" s="164">
        <f t="shared" si="117"/>
        <v>0</v>
      </c>
      <c r="AK53" s="164">
        <f t="shared" si="117"/>
        <v>0</v>
      </c>
      <c r="AL53" s="163">
        <f t="shared" si="109"/>
        <v>0</v>
      </c>
      <c r="AM53" s="128"/>
      <c r="AN53" s="164">
        <f t="shared" si="118"/>
        <v>0</v>
      </c>
      <c r="AO53" s="164">
        <f t="shared" si="119"/>
        <v>0</v>
      </c>
      <c r="AP53" s="164">
        <f t="shared" si="120"/>
        <v>0</v>
      </c>
      <c r="AQ53" s="164">
        <f t="shared" si="121"/>
        <v>0</v>
      </c>
      <c r="AR53" s="164">
        <f t="shared" si="122"/>
        <v>0</v>
      </c>
      <c r="AS53" s="163">
        <f t="shared" si="123"/>
        <v>0</v>
      </c>
      <c r="AT53" s="163">
        <f t="shared" si="124"/>
        <v>0</v>
      </c>
      <c r="AU53" s="132">
        <f t="shared" si="110"/>
        <v>0</v>
      </c>
      <c r="AV53" s="237" t="str">
        <f t="shared" si="125"/>
        <v/>
      </c>
      <c r="AW53" s="163">
        <f t="shared" si="126"/>
        <v>0</v>
      </c>
      <c r="AX53" s="237" t="str">
        <f t="shared" si="127"/>
        <v/>
      </c>
      <c r="AY53" s="22"/>
      <c r="BA53" s="24" t="s">
        <v>1433</v>
      </c>
      <c r="BB53" s="22">
        <f>(BB47*BB48+BB50*BB51)/100</f>
        <v>13.5</v>
      </c>
      <c r="BC53" s="22"/>
      <c r="BD53" s="22"/>
      <c r="BE53" s="22"/>
      <c r="BF53" s="22"/>
      <c r="BG53" s="22"/>
      <c r="BH53" s="22"/>
      <c r="BJ53" s="24" t="s">
        <v>1433</v>
      </c>
      <c r="BK53" s="22">
        <f>(BK47*BK48+BK50*BK51)/100</f>
        <v>13.5</v>
      </c>
      <c r="BL53" s="22"/>
      <c r="BM53" s="22"/>
      <c r="BN53" s="22"/>
      <c r="BO53" s="22"/>
      <c r="BP53" s="22"/>
      <c r="BQ53" s="22"/>
    </row>
    <row r="54" spans="4:77" ht="16.5" customHeight="1" x14ac:dyDescent="0.25">
      <c r="F54" s="249">
        <f t="shared" ca="1" si="112"/>
        <v>2019</v>
      </c>
      <c r="G54" s="249" t="str">
        <f t="shared" ca="1" si="112"/>
        <v>okt</v>
      </c>
      <c r="H54" s="3"/>
      <c r="I54" s="41">
        <f t="shared" si="113"/>
        <v>0</v>
      </c>
      <c r="J54" s="259"/>
      <c r="K54" s="2"/>
      <c r="L54" s="41">
        <f t="shared" si="114"/>
        <v>0</v>
      </c>
      <c r="M54" s="259"/>
      <c r="N54" s="2"/>
      <c r="O54" s="41">
        <f t="shared" si="115"/>
        <v>0</v>
      </c>
      <c r="P54" s="300"/>
      <c r="Q54" s="2"/>
      <c r="R54" s="2"/>
      <c r="S54" s="2"/>
      <c r="T54" s="2"/>
      <c r="U54" s="2"/>
      <c r="V54" s="2"/>
      <c r="Y54" s="164">
        <f t="shared" si="116"/>
        <v>0</v>
      </c>
      <c r="Z54" s="164">
        <f t="shared" si="104"/>
        <v>0</v>
      </c>
      <c r="AA54" s="164">
        <f t="shared" si="105"/>
        <v>0</v>
      </c>
      <c r="AB54" s="163">
        <f t="shared" si="106"/>
        <v>0</v>
      </c>
      <c r="AC54" s="163">
        <f t="shared" si="107"/>
        <v>0</v>
      </c>
      <c r="AD54" s="163">
        <f t="shared" si="108"/>
        <v>0</v>
      </c>
      <c r="AF54" s="65"/>
      <c r="AG54" s="158">
        <f t="shared" si="117"/>
        <v>0</v>
      </c>
      <c r="AH54" s="164">
        <f t="shared" si="117"/>
        <v>0</v>
      </c>
      <c r="AI54" s="164">
        <f t="shared" si="117"/>
        <v>0</v>
      </c>
      <c r="AJ54" s="164">
        <f t="shared" si="117"/>
        <v>0</v>
      </c>
      <c r="AK54" s="164">
        <f t="shared" si="117"/>
        <v>0</v>
      </c>
      <c r="AL54" s="163">
        <f t="shared" si="109"/>
        <v>0</v>
      </c>
      <c r="AM54" s="128"/>
      <c r="AN54" s="164">
        <f t="shared" si="118"/>
        <v>0</v>
      </c>
      <c r="AO54" s="164">
        <f t="shared" si="119"/>
        <v>0</v>
      </c>
      <c r="AP54" s="164">
        <f t="shared" si="120"/>
        <v>0</v>
      </c>
      <c r="AQ54" s="164">
        <f t="shared" si="121"/>
        <v>0</v>
      </c>
      <c r="AR54" s="164">
        <f t="shared" si="122"/>
        <v>0</v>
      </c>
      <c r="AS54" s="163">
        <f t="shared" si="123"/>
        <v>0</v>
      </c>
      <c r="AT54" s="163">
        <f t="shared" si="124"/>
        <v>0</v>
      </c>
      <c r="AU54" s="132">
        <f t="shared" si="110"/>
        <v>0</v>
      </c>
      <c r="AV54" s="237" t="str">
        <f t="shared" si="125"/>
        <v/>
      </c>
      <c r="AW54" s="163">
        <f t="shared" si="126"/>
        <v>0</v>
      </c>
      <c r="AX54" s="237" t="str">
        <f t="shared" si="127"/>
        <v/>
      </c>
      <c r="BA54" s="24" t="s">
        <v>1434</v>
      </c>
      <c r="BB54" s="27">
        <f>IF($D$42="Finns",($BB$53*0.9),$BB$53)</f>
        <v>13.5</v>
      </c>
      <c r="BC54" s="22"/>
      <c r="BD54" s="22"/>
      <c r="BE54" s="22"/>
      <c r="BF54" s="22"/>
      <c r="BG54" s="22"/>
      <c r="BH54" s="22"/>
      <c r="BJ54" s="24" t="s">
        <v>1434</v>
      </c>
      <c r="BK54" s="27">
        <f>IF($D$42="Finns",($BK$53*0.9),$BK$53)</f>
        <v>13.5</v>
      </c>
      <c r="BL54" s="22"/>
      <c r="BM54" s="22"/>
      <c r="BN54" s="22"/>
      <c r="BO54" s="22"/>
      <c r="BP54" s="22"/>
      <c r="BQ54" s="22"/>
    </row>
    <row r="55" spans="4:77" ht="16.5" customHeight="1" thickBot="1" x14ac:dyDescent="0.3">
      <c r="F55" s="249">
        <f t="shared" ca="1" si="112"/>
        <v>2019</v>
      </c>
      <c r="G55" s="249" t="str">
        <f t="shared" ca="1" si="112"/>
        <v>nov</v>
      </c>
      <c r="H55" s="3"/>
      <c r="I55" s="41">
        <f t="shared" si="113"/>
        <v>0</v>
      </c>
      <c r="J55" s="259"/>
      <c r="K55" s="2"/>
      <c r="L55" s="41">
        <f t="shared" si="114"/>
        <v>0</v>
      </c>
      <c r="M55" s="259"/>
      <c r="N55" s="2"/>
      <c r="O55" s="41">
        <f t="shared" si="115"/>
        <v>0</v>
      </c>
      <c r="P55" s="300"/>
      <c r="Q55" s="2"/>
      <c r="R55" s="2"/>
      <c r="S55" s="2"/>
      <c r="T55" s="2"/>
      <c r="U55" s="2"/>
      <c r="V55" s="2"/>
      <c r="Y55" s="165">
        <f t="shared" si="116"/>
        <v>0</v>
      </c>
      <c r="Z55" s="165">
        <f t="shared" si="104"/>
        <v>0</v>
      </c>
      <c r="AA55" s="165">
        <f t="shared" si="105"/>
        <v>0</v>
      </c>
      <c r="AB55" s="166">
        <f t="shared" si="106"/>
        <v>0</v>
      </c>
      <c r="AC55" s="166">
        <f t="shared" si="107"/>
        <v>0</v>
      </c>
      <c r="AD55" s="166">
        <f t="shared" si="108"/>
        <v>0</v>
      </c>
      <c r="AF55" s="65"/>
      <c r="AG55" s="159">
        <f t="shared" si="117"/>
        <v>0</v>
      </c>
      <c r="AH55" s="165">
        <f t="shared" si="117"/>
        <v>0</v>
      </c>
      <c r="AI55" s="165">
        <f t="shared" si="117"/>
        <v>0</v>
      </c>
      <c r="AJ55" s="165">
        <f t="shared" si="117"/>
        <v>0</v>
      </c>
      <c r="AK55" s="165">
        <f t="shared" si="117"/>
        <v>0</v>
      </c>
      <c r="AL55" s="166">
        <f t="shared" si="109"/>
        <v>0</v>
      </c>
      <c r="AM55" s="128"/>
      <c r="AN55" s="165">
        <f t="shared" si="118"/>
        <v>0</v>
      </c>
      <c r="AO55" s="165">
        <f t="shared" si="119"/>
        <v>0</v>
      </c>
      <c r="AP55" s="165">
        <f t="shared" si="120"/>
        <v>0</v>
      </c>
      <c r="AQ55" s="165">
        <f t="shared" si="121"/>
        <v>0</v>
      </c>
      <c r="AR55" s="165">
        <f t="shared" si="122"/>
        <v>0</v>
      </c>
      <c r="AS55" s="166">
        <f t="shared" si="123"/>
        <v>0</v>
      </c>
      <c r="AT55" s="166">
        <f t="shared" si="124"/>
        <v>0</v>
      </c>
      <c r="AU55" s="133">
        <f t="shared" si="110"/>
        <v>0</v>
      </c>
      <c r="AV55" s="237" t="str">
        <f t="shared" si="125"/>
        <v/>
      </c>
      <c r="AW55" s="166">
        <f t="shared" si="126"/>
        <v>0</v>
      </c>
      <c r="AX55" s="237" t="str">
        <f t="shared" si="127"/>
        <v/>
      </c>
      <c r="BA55" s="24" t="s">
        <v>1435</v>
      </c>
      <c r="BB55" s="27">
        <f>BB54-($AC$142+$AE$142)/'Indata byggnad och BBR krav'!$C$16</f>
        <v>13.5</v>
      </c>
      <c r="BC55" s="22"/>
      <c r="BD55" s="22"/>
      <c r="BE55" s="22"/>
      <c r="BF55" s="22"/>
      <c r="BJ55" s="24" t="s">
        <v>1435</v>
      </c>
      <c r="BK55" s="27">
        <f>BK54-($AE$142)/'Indata byggnad och BBR krav'!$C$16</f>
        <v>13.5</v>
      </c>
      <c r="BL55" s="22"/>
      <c r="BM55" s="22"/>
      <c r="BN55" s="22"/>
      <c r="BO55" s="22"/>
    </row>
    <row r="56" spans="4:77" ht="16.5" customHeight="1" thickTop="1" x14ac:dyDescent="0.25">
      <c r="F56" s="249">
        <f t="shared" ca="1" si="112"/>
        <v>2019</v>
      </c>
      <c r="G56" s="249" t="str">
        <f t="shared" ca="1" si="112"/>
        <v>dec</v>
      </c>
      <c r="H56" s="3"/>
      <c r="I56" s="41">
        <f t="shared" si="113"/>
        <v>0</v>
      </c>
      <c r="J56" s="259"/>
      <c r="K56" s="2"/>
      <c r="L56" s="41">
        <f t="shared" si="114"/>
        <v>0</v>
      </c>
      <c r="M56" s="259"/>
      <c r="N56" s="2"/>
      <c r="O56" s="41">
        <f t="shared" si="115"/>
        <v>0</v>
      </c>
      <c r="P56" s="300"/>
      <c r="Q56" s="2"/>
      <c r="R56" s="2"/>
      <c r="S56" s="2"/>
      <c r="T56" s="2"/>
      <c r="U56" s="2"/>
      <c r="V56" s="2"/>
      <c r="X56" s="110" t="s">
        <v>1295</v>
      </c>
      <c r="Y56" s="167">
        <f t="shared" ref="Y56:AD56" si="134">SUM(Y44:Y55)</f>
        <v>0</v>
      </c>
      <c r="Z56" s="167">
        <f t="shared" si="134"/>
        <v>0</v>
      </c>
      <c r="AA56" s="167">
        <f t="shared" si="134"/>
        <v>0</v>
      </c>
      <c r="AB56" s="167">
        <f t="shared" si="134"/>
        <v>0</v>
      </c>
      <c r="AC56" s="168">
        <f t="shared" si="134"/>
        <v>0</v>
      </c>
      <c r="AD56" s="167">
        <f t="shared" si="134"/>
        <v>0</v>
      </c>
      <c r="AF56" s="110" t="s">
        <v>1295</v>
      </c>
      <c r="AG56" s="167">
        <f t="shared" ref="AG56:AL56" si="135">SUM(AG44:AG55)</f>
        <v>0</v>
      </c>
      <c r="AH56" s="167">
        <f t="shared" si="135"/>
        <v>0</v>
      </c>
      <c r="AI56" s="167">
        <f t="shared" si="135"/>
        <v>0</v>
      </c>
      <c r="AJ56" s="167">
        <f t="shared" si="135"/>
        <v>0</v>
      </c>
      <c r="AK56" s="168">
        <f t="shared" si="135"/>
        <v>0</v>
      </c>
      <c r="AL56" s="167">
        <f t="shared" si="135"/>
        <v>0</v>
      </c>
      <c r="AM56" s="128"/>
      <c r="AN56" s="167">
        <f t="shared" ref="AN56:AT56" si="136">SUM(AN44:AN55)</f>
        <v>0</v>
      </c>
      <c r="AO56" s="167">
        <f t="shared" si="136"/>
        <v>0</v>
      </c>
      <c r="AP56" s="167">
        <f t="shared" si="136"/>
        <v>0</v>
      </c>
      <c r="AQ56" s="167">
        <f t="shared" si="136"/>
        <v>0</v>
      </c>
      <c r="AR56" s="167">
        <f t="shared" si="136"/>
        <v>0</v>
      </c>
      <c r="AS56" s="167">
        <f t="shared" si="136"/>
        <v>0</v>
      </c>
      <c r="AT56" s="167">
        <f t="shared" si="136"/>
        <v>0</v>
      </c>
      <c r="AU56" s="167">
        <f>SUM(AU44:AU55)</f>
        <v>0</v>
      </c>
      <c r="AW56" s="167">
        <f>SUM(AW44:AW55)</f>
        <v>0</v>
      </c>
      <c r="BB56" s="70" t="s">
        <v>1291</v>
      </c>
      <c r="BC56" s="22"/>
      <c r="BD56" s="22"/>
      <c r="BE56" s="22"/>
      <c r="BF56" s="22"/>
      <c r="BG56" s="22" t="s">
        <v>1094</v>
      </c>
      <c r="BH56" s="16" t="s">
        <v>1292</v>
      </c>
      <c r="BK56" s="70" t="s">
        <v>1291</v>
      </c>
      <c r="BL56" s="22"/>
      <c r="BM56" s="22"/>
      <c r="BN56" s="22"/>
      <c r="BO56" s="22"/>
      <c r="BP56" s="22" t="s">
        <v>1094</v>
      </c>
      <c r="BQ56" s="16" t="s">
        <v>1292</v>
      </c>
    </row>
    <row r="57" spans="4:77" ht="16.5" customHeight="1" x14ac:dyDescent="0.25">
      <c r="D57" s="20"/>
      <c r="E57" s="20"/>
      <c r="I57" s="51">
        <f>SUM(I45:I56)</f>
        <v>0</v>
      </c>
      <c r="J57" s="51">
        <f>SUM(J45:J56)</f>
        <v>0</v>
      </c>
      <c r="L57" s="51">
        <f>SUM(L45:L56)</f>
        <v>0</v>
      </c>
      <c r="M57" s="51">
        <f>SUM(M45:M56)</f>
        <v>0</v>
      </c>
      <c r="O57" s="51">
        <f>SUM(O45:O56)</f>
        <v>0</v>
      </c>
      <c r="P57" s="51">
        <f>SUM(P45:P56)</f>
        <v>0</v>
      </c>
      <c r="X57" s="110" t="s">
        <v>1375</v>
      </c>
      <c r="Y57" s="167">
        <f>IF($J$40=$Y$43,I57*$J$41,0)+IF($M$40=$Y$43,L57*$M$41,0)+IF($P$40=$Y$43,O57*$P$41,0)</f>
        <v>0</v>
      </c>
      <c r="Z57" s="167">
        <f>IF(OR(J40="El-panna",J40="Värmepump"),I57*J41,0)+IF(OR(M40="El-panna",M40="Värmepump"),L57*M41,0)+IF(OR(P40="El-panna",P40="Värmepump"),O57*P41,0)</f>
        <v>0</v>
      </c>
      <c r="AA57" s="168">
        <f>IF(OR(J40="Flispanna",J40="Pelletspanna",J40="Vedpanna"),I57*J41,0)+IF(OR(M40="Flispanna",M40="Pelletspanna",M40="Vedpanna"),L57*M41,0)+IF(OR(P40="Flispanna",P40="Pelletspanna",P40="Vedpanna"),O57*P41,0)</f>
        <v>0</v>
      </c>
      <c r="AB57" s="168">
        <f>IF(J40="Gaspanna",I57*J41,0)+IF(M40="Gaspanna",L57*M41,0)+IF(P40="Gaspanna",O57*P41,0)</f>
        <v>0</v>
      </c>
      <c r="AC57" s="168">
        <f>IF(J40="Oljepanna",I57/J41,0)+IF(M40="Oljepanna",L57/M41,0)+IF(P40="Oljepanna",O57/P41,0)</f>
        <v>0</v>
      </c>
      <c r="AD57" s="167">
        <f>SUM(Y57:AC57)</f>
        <v>0</v>
      </c>
      <c r="AF57" s="110" t="s">
        <v>1375</v>
      </c>
      <c r="AG57" s="173">
        <f>IF(AG56&gt;0,AG56*(Y57/Y56),0)</f>
        <v>0</v>
      </c>
      <c r="AH57" s="163">
        <f>IF(AH56&gt;0,AH56*(Z57/Z56),0)</f>
        <v>0</v>
      </c>
      <c r="AI57" s="163">
        <f>IF(AI56&gt;0,AI56*(AA57/AA56),0)</f>
        <v>0</v>
      </c>
      <c r="AJ57" s="163">
        <f>IF(AJ56&gt;0,AJ56*(AB57/AB56),0)</f>
        <v>0</v>
      </c>
      <c r="AK57" s="163">
        <f>IF(AK56&gt;0,AK56*(AC57/AC56),0)</f>
        <v>0</v>
      </c>
      <c r="AL57" s="167">
        <f>AG57+AH57+AI57+AJ57+AK57</f>
        <v>0</v>
      </c>
      <c r="AM57" s="104" t="s">
        <v>1311</v>
      </c>
      <c r="AN57" s="130">
        <f>IF(AG56&gt;0,AN56/AG56,0)</f>
        <v>0</v>
      </c>
      <c r="AO57" s="131">
        <f t="shared" ref="AO57:AR57" si="137">IF(AH56&gt;0,AO56/AH56,0)</f>
        <v>0</v>
      </c>
      <c r="AP57" s="130">
        <f t="shared" si="137"/>
        <v>0</v>
      </c>
      <c r="AQ57" s="130">
        <f t="shared" si="137"/>
        <v>0</v>
      </c>
      <c r="AR57" s="130">
        <f t="shared" si="137"/>
        <v>0</v>
      </c>
      <c r="AY57" s="22"/>
      <c r="BA57" s="24" t="s">
        <v>1289</v>
      </c>
      <c r="BB57" s="30">
        <f>IF(BB45&gt;0,($BB$55*BB45*'Indata byggnad och BBR krav'!$C$16/1000),0)</f>
        <v>0</v>
      </c>
      <c r="BC57" s="30">
        <f>IF(BC45&gt;0,($BB$55*BC45*'Indata byggnad och BBR krav'!$C$16/1000),0)</f>
        <v>0</v>
      </c>
      <c r="BD57" s="30">
        <f>IF(BD45&gt;0,($BB$55*BD45*'Indata byggnad och BBR krav'!$C$16/1000),0)</f>
        <v>0</v>
      </c>
      <c r="BE57" s="30">
        <f>IF(BE45&gt;0,($BB$55*BE45*'Indata byggnad och BBR krav'!$C$16/1000),0)</f>
        <v>0</v>
      </c>
      <c r="BF57" s="30">
        <f>IF(BF45&gt;0,($BB$55*BF45*'Indata byggnad och BBR krav'!$C$16/1000),0)</f>
        <v>0</v>
      </c>
      <c r="BG57" s="71">
        <f>SUM(BB57:BF57)</f>
        <v>0</v>
      </c>
      <c r="BH57" s="27">
        <f>BG57*1000/'Indata byggnad och BBR krav'!$C$16</f>
        <v>0</v>
      </c>
      <c r="BJ57" s="24" t="s">
        <v>1289</v>
      </c>
      <c r="BK57" s="30">
        <f>IF(BK45&gt;0,($BK$55*BK45*'Indata byggnad och BBR krav'!$C$16/1000),0)</f>
        <v>0</v>
      </c>
      <c r="BL57" s="30">
        <f>IF(BL45&gt;0,($BK$55*BL45*'Indata byggnad och BBR krav'!$C$16/1000),0)</f>
        <v>0</v>
      </c>
      <c r="BM57" s="30">
        <f>IF(BM45&gt;0,($BK$55*BM45*'Indata byggnad och BBR krav'!$C$16/1000),0)</f>
        <v>0</v>
      </c>
      <c r="BN57" s="30">
        <f>IF(BN45&gt;0,($BK$55*BN45*'Indata byggnad och BBR krav'!$C$16/1000),0)</f>
        <v>0</v>
      </c>
      <c r="BO57" s="30">
        <f>IF(BO45&gt;0,($BK$55*BO45*'Indata byggnad och BBR krav'!$C$16/1000),0)</f>
        <v>0</v>
      </c>
      <c r="BP57" s="71">
        <f>SUM(BK57:BO57)</f>
        <v>0</v>
      </c>
      <c r="BQ57" s="27">
        <f>BP57*1000/'Indata byggnad och BBR krav'!$C$16</f>
        <v>0</v>
      </c>
    </row>
    <row r="58" spans="4:77" ht="20.25" customHeight="1" thickBot="1" x14ac:dyDescent="0.3">
      <c r="F58" s="60"/>
      <c r="G58" s="60"/>
      <c r="H58" s="60"/>
      <c r="I58" s="60"/>
      <c r="J58" s="60"/>
      <c r="K58" s="60"/>
      <c r="L58" s="60"/>
      <c r="M58" s="60"/>
      <c r="N58" s="60"/>
      <c r="O58" s="60"/>
      <c r="P58" s="60"/>
      <c r="Q58" s="60"/>
      <c r="X58" s="104" t="s">
        <v>1195</v>
      </c>
      <c r="Y58" s="169">
        <f>IF($AD$57&gt;0,Y57/$AD$57,0)</f>
        <v>0</v>
      </c>
      <c r="Z58" s="169">
        <f t="shared" ref="Z58:AC58" si="138">IF($AD$57&gt;0,Z57/$AD$57,0)</f>
        <v>0</v>
      </c>
      <c r="AA58" s="169">
        <f t="shared" si="138"/>
        <v>0</v>
      </c>
      <c r="AB58" s="169">
        <f t="shared" si="138"/>
        <v>0</v>
      </c>
      <c r="AC58" s="169">
        <f t="shared" si="138"/>
        <v>0</v>
      </c>
      <c r="AF58" s="104" t="s">
        <v>1195</v>
      </c>
      <c r="AG58" s="131">
        <f>IF($AL$57&gt;0,AG57/$AL$57,0)</f>
        <v>0</v>
      </c>
      <c r="AH58" s="131">
        <f t="shared" ref="AH58:AK58" si="139">IF($AL$57&gt;0,AH57/$AL$57,0)</f>
        <v>0</v>
      </c>
      <c r="AI58" s="131">
        <f t="shared" si="139"/>
        <v>0</v>
      </c>
      <c r="AJ58" s="131">
        <f t="shared" si="139"/>
        <v>0</v>
      </c>
      <c r="AK58" s="131">
        <f t="shared" si="139"/>
        <v>0</v>
      </c>
      <c r="AM58" s="104" t="s">
        <v>1195</v>
      </c>
      <c r="AN58" s="131">
        <f>IF($AS$56&gt;0,AN56/$AS$56,0)</f>
        <v>0</v>
      </c>
      <c r="AO58" s="131">
        <f t="shared" ref="AO58:AR58" si="140">IF($AS$56&gt;0,AO56/$AS$56,0)</f>
        <v>0</v>
      </c>
      <c r="AP58" s="131">
        <f t="shared" si="140"/>
        <v>0</v>
      </c>
      <c r="AQ58" s="131">
        <f t="shared" si="140"/>
        <v>0</v>
      </c>
      <c r="AR58" s="131">
        <f t="shared" si="140"/>
        <v>0</v>
      </c>
      <c r="AY58" s="22"/>
      <c r="AZ58" s="22"/>
      <c r="BA58" s="24" t="s">
        <v>1290</v>
      </c>
      <c r="BB58" s="71">
        <f>IF(BB45&gt;0,BB57/BB44,0)</f>
        <v>0</v>
      </c>
      <c r="BC58" s="71">
        <f>IF(BC45&gt;0,BC57/BC44,0)</f>
        <v>0</v>
      </c>
      <c r="BD58" s="71">
        <f>IF(BD45&gt;0,BD57/BD44,0)</f>
        <v>0</v>
      </c>
      <c r="BE58" s="71">
        <f>IF(BE45&gt;0,BE57/BE44,0)</f>
        <v>0</v>
      </c>
      <c r="BF58" s="71">
        <f>IF(BF45&gt;0,BF57/BF44,0)</f>
        <v>0</v>
      </c>
      <c r="BG58" s="71">
        <f>SUM(BB58:BF58)</f>
        <v>0</v>
      </c>
      <c r="BH58" s="27">
        <f>BG58*1000/'Indata byggnad och BBR krav'!$C$16</f>
        <v>0</v>
      </c>
      <c r="BI58" s="22"/>
      <c r="BJ58" s="24" t="s">
        <v>1290</v>
      </c>
      <c r="BK58" s="71">
        <f>IF(BK45&gt;0,BK57/BK44,0)</f>
        <v>0</v>
      </c>
      <c r="BL58" s="71">
        <f t="shared" ref="BL58:BO58" si="141">IF(BL45&gt;0,BL57/BL44,0)</f>
        <v>0</v>
      </c>
      <c r="BM58" s="71">
        <f t="shared" si="141"/>
        <v>0</v>
      </c>
      <c r="BN58" s="71">
        <f t="shared" si="141"/>
        <v>0</v>
      </c>
      <c r="BO58" s="71">
        <f t="shared" si="141"/>
        <v>0</v>
      </c>
      <c r="BP58" s="71">
        <f>SUM(BK58:BO58)</f>
        <v>0</v>
      </c>
      <c r="BQ58" s="27">
        <f>BP58*1000/'Indata byggnad och BBR krav'!$C$16</f>
        <v>0</v>
      </c>
    </row>
    <row r="59" spans="4:77" ht="16.5" customHeight="1" thickBot="1" x14ac:dyDescent="0.3">
      <c r="F59" s="151" t="s">
        <v>1344</v>
      </c>
      <c r="G59" s="60"/>
      <c r="H59" s="60"/>
      <c r="I59" s="60"/>
      <c r="J59" s="60"/>
      <c r="K59" s="60"/>
      <c r="L59" s="60"/>
      <c r="M59" s="60"/>
      <c r="N59" s="60"/>
      <c r="O59" s="60"/>
      <c r="P59" s="60"/>
      <c r="Q59" s="60"/>
      <c r="R59" s="3"/>
      <c r="S59" s="3"/>
      <c r="T59" s="3"/>
      <c r="U59" s="3"/>
      <c r="V59" s="3"/>
      <c r="X59" s="110" t="s">
        <v>1376</v>
      </c>
      <c r="Y59" s="163">
        <f>(Y57-$AC$142*Y58)</f>
        <v>0</v>
      </c>
      <c r="Z59" s="163">
        <f>(Z57-$AC$142*Z58)</f>
        <v>0</v>
      </c>
      <c r="AA59" s="163">
        <f>(AA57-$AC$142*AA58)</f>
        <v>0</v>
      </c>
      <c r="AB59" s="163">
        <f>(AB57-$AC$142*AB58)</f>
        <v>0</v>
      </c>
      <c r="AC59" s="163">
        <f>(AC57-$AC$142*AC58)</f>
        <v>0</v>
      </c>
      <c r="AD59" s="163">
        <f>SUM(Y59:AC59)</f>
        <v>0</v>
      </c>
      <c r="AF59" s="110" t="s">
        <v>1376</v>
      </c>
      <c r="AG59" s="163">
        <f>(AG57-$AC$142*AG58)</f>
        <v>0</v>
      </c>
      <c r="AH59" s="163">
        <f>(AH57-$AC$142*AH58)</f>
        <v>0</v>
      </c>
      <c r="AI59" s="163">
        <f>(AI57-$AC$142*AI58)</f>
        <v>0</v>
      </c>
      <c r="AJ59" s="163">
        <f>(AJ57-$AC$142*AJ58)</f>
        <v>0</v>
      </c>
      <c r="AK59" s="163">
        <f>(AK57-$AC$142*AK58)</f>
        <v>0</v>
      </c>
      <c r="AL59" s="163">
        <f>SUM(AG59:AK59)</f>
        <v>0</v>
      </c>
      <c r="AM59" s="162"/>
      <c r="AN59" s="162"/>
      <c r="AO59" s="162"/>
      <c r="AP59" s="162"/>
      <c r="AQ59" s="162"/>
      <c r="AR59" s="162"/>
      <c r="AS59" s="162"/>
      <c r="AT59" s="162"/>
      <c r="AU59" s="162"/>
      <c r="AV59" s="162"/>
      <c r="AW59" s="162"/>
      <c r="AX59" s="162"/>
      <c r="AY59" s="22"/>
      <c r="AZ59" s="22"/>
      <c r="BA59" s="24" t="s">
        <v>1201</v>
      </c>
      <c r="BB59" s="30">
        <f>BB58</f>
        <v>0</v>
      </c>
      <c r="BC59" s="30">
        <f>BC58-$Y$142</f>
        <v>0</v>
      </c>
      <c r="BD59" s="30">
        <f>BD58</f>
        <v>0</v>
      </c>
      <c r="BE59" s="30">
        <f>BE58</f>
        <v>0</v>
      </c>
      <c r="BF59" s="30">
        <f>BF58</f>
        <v>0</v>
      </c>
      <c r="BG59" s="72">
        <f>SUM(BB59:BF59)</f>
        <v>0</v>
      </c>
      <c r="BH59" s="27">
        <f>BG59*1000/'Indata byggnad och BBR krav'!$C$16</f>
        <v>0</v>
      </c>
      <c r="BI59" s="22"/>
      <c r="BJ59" s="186" t="s">
        <v>1393</v>
      </c>
      <c r="BK59" s="30">
        <f>BK58</f>
        <v>0</v>
      </c>
      <c r="BL59" s="30">
        <f t="shared" ref="BL59:BO59" si="142">BL58</f>
        <v>0</v>
      </c>
      <c r="BM59" s="30">
        <f t="shared" si="142"/>
        <v>0</v>
      </c>
      <c r="BN59" s="30">
        <f t="shared" si="142"/>
        <v>0</v>
      </c>
      <c r="BO59" s="30">
        <f t="shared" si="142"/>
        <v>0</v>
      </c>
      <c r="BP59" s="72">
        <f>SUM(BK59:BO59)</f>
        <v>0</v>
      </c>
      <c r="BQ59" s="27">
        <f>BP59*1000/'Indata byggnad och BBR krav'!$C$16</f>
        <v>0</v>
      </c>
    </row>
    <row r="60" spans="4:77" ht="16.5" customHeight="1" thickBot="1" x14ac:dyDescent="0.3">
      <c r="F60" s="17" t="str">
        <f>IF(OR($D$41="Inkluderad i energi för uppvärmning",$D$41="Inkluderad i energi för tappvarmvatten"),"(Separat mätning finns inte)","")</f>
        <v>(Separat mätning finns inte)</v>
      </c>
      <c r="G60" s="60"/>
      <c r="H60" s="60"/>
      <c r="I60" s="60"/>
      <c r="J60" s="116" t="str">
        <f>J40</f>
        <v>Fjärrvärme</v>
      </c>
      <c r="K60" s="60"/>
      <c r="L60" s="60"/>
      <c r="M60" s="116" t="str">
        <f>IF(M40="","",M40)</f>
        <v>Värmepump</v>
      </c>
      <c r="N60" s="60"/>
      <c r="O60" s="60"/>
      <c r="P60" s="116" t="str">
        <f>IF(P40="","",P40)</f>
        <v>El-panna</v>
      </c>
      <c r="Q60" s="60"/>
      <c r="R60" s="2"/>
      <c r="S60" s="2"/>
      <c r="T60" s="2"/>
      <c r="U60" s="2"/>
      <c r="V60" s="2"/>
      <c r="X60" s="110" t="s">
        <v>1377</v>
      </c>
      <c r="Y60" s="163">
        <f>(Y59-($AE$142+$AG$142)*Y58)</f>
        <v>0</v>
      </c>
      <c r="Z60" s="163">
        <f>(Z59-($AE$142+$AG$142)*Z58)</f>
        <v>0</v>
      </c>
      <c r="AA60" s="163">
        <f>(AA59-($AE$142+$AG$142)*AA58)</f>
        <v>0</v>
      </c>
      <c r="AB60" s="163">
        <f>(AB59-($AE$142+$AG$142)*AB58)</f>
        <v>0</v>
      </c>
      <c r="AC60" s="163">
        <f>(AC59-($AE$142+$AG$142)*AC58)</f>
        <v>0</v>
      </c>
      <c r="AD60" s="163">
        <f>SUM(Y60:AC60)</f>
        <v>0</v>
      </c>
      <c r="AF60" s="110" t="s">
        <v>1377</v>
      </c>
      <c r="AG60" s="163">
        <f>(AG59-($AE$142+$AG$142)*AG58)</f>
        <v>0</v>
      </c>
      <c r="AH60" s="163">
        <f>(AH59-($AE$142+$AG$142)*AH58)</f>
        <v>0</v>
      </c>
      <c r="AI60" s="163">
        <f>(AI59-($AE$142+$AG$142)*AI58)</f>
        <v>0</v>
      </c>
      <c r="AJ60" s="163">
        <f>(AJ59-($AE$142+$AG$142)*AJ58)</f>
        <v>0</v>
      </c>
      <c r="AK60" s="163">
        <f>(AK59-($AE$142+$AG$142)*AK58)</f>
        <v>0</v>
      </c>
      <c r="AL60" s="163">
        <f>SUM(AG60:AK60)</f>
        <v>0</v>
      </c>
      <c r="AM60" s="162"/>
      <c r="AN60" s="162"/>
      <c r="AO60" s="162"/>
      <c r="AP60" s="162"/>
      <c r="AQ60" s="162"/>
      <c r="AR60" s="162"/>
      <c r="AS60" s="162"/>
      <c r="AT60" s="162"/>
      <c r="AU60" s="162"/>
      <c r="AV60" s="162"/>
      <c r="AW60" s="162"/>
      <c r="AX60" s="162"/>
      <c r="AY60" s="22"/>
      <c r="AZ60" s="22"/>
      <c r="BA60" s="24" t="s">
        <v>1293</v>
      </c>
      <c r="BB60" s="52">
        <f>BB59*BB40</f>
        <v>0</v>
      </c>
      <c r="BC60" s="52">
        <f>BC59*BC40</f>
        <v>0</v>
      </c>
      <c r="BD60" s="52">
        <f>BD59*BD40</f>
        <v>0</v>
      </c>
      <c r="BE60" s="52">
        <f>BE59*BE40</f>
        <v>0</v>
      </c>
      <c r="BF60" s="52">
        <f>BF59*BF40</f>
        <v>0</v>
      </c>
      <c r="BG60" s="63">
        <f>SUM(BB60:BF60)</f>
        <v>0</v>
      </c>
      <c r="BH60" s="27">
        <f>BG60*1000/'Indata byggnad och BBR krav'!$C$16</f>
        <v>0</v>
      </c>
      <c r="BI60" s="22"/>
      <c r="BJ60" s="24" t="s">
        <v>1293</v>
      </c>
      <c r="BK60" s="52">
        <f>BK59*BK40</f>
        <v>0</v>
      </c>
      <c r="BL60" s="52">
        <f>BL59*BL40</f>
        <v>0</v>
      </c>
      <c r="BM60" s="52">
        <f>BM59*BM40</f>
        <v>0</v>
      </c>
      <c r="BN60" s="52">
        <f>BN59*BN40</f>
        <v>0</v>
      </c>
      <c r="BO60" s="52">
        <f>BO59*BO40</f>
        <v>0</v>
      </c>
      <c r="BP60" s="63">
        <f>SUM(BK60:BO60)</f>
        <v>0</v>
      </c>
      <c r="BQ60" s="27">
        <f>BP60*1000/'Indata byggnad och BBR krav'!$C$16</f>
        <v>0</v>
      </c>
    </row>
    <row r="61" spans="4:77" ht="16.5" customHeight="1" thickBot="1" x14ac:dyDescent="0.3">
      <c r="G61" s="3"/>
      <c r="H61" s="3"/>
      <c r="I61" s="64"/>
      <c r="J61" s="40" t="s">
        <v>1132</v>
      </c>
      <c r="K61" s="40"/>
      <c r="L61" s="64"/>
      <c r="M61" s="40" t="s">
        <v>1132</v>
      </c>
      <c r="N61" s="40"/>
      <c r="O61" s="64"/>
      <c r="P61" s="40" t="s">
        <v>1132</v>
      </c>
      <c r="Q61" s="40"/>
      <c r="R61" s="40"/>
      <c r="S61" s="40"/>
      <c r="T61" s="40"/>
      <c r="U61" s="40"/>
      <c r="V61" s="40"/>
      <c r="X61" s="110" t="s">
        <v>1378</v>
      </c>
      <c r="Y61" s="163">
        <f>IF(Y60&gt;0,Y60/(Y57/Y56),0)</f>
        <v>0</v>
      </c>
      <c r="Z61" s="163">
        <f>IF(Z60&gt;0,Z60/(Z57/Z56),0)</f>
        <v>0</v>
      </c>
      <c r="AA61" s="35">
        <f>IF(AA60&gt;0,AA60/(AA57/AA56),0)</f>
        <v>0</v>
      </c>
      <c r="AB61" s="35">
        <f>IF(AB60&gt;0,AB60/(AB57/AB56),0)</f>
        <v>0</v>
      </c>
      <c r="AC61" s="35">
        <f>IF(AC60&gt;0,AC60/(AC57/AC56),0)</f>
        <v>0</v>
      </c>
      <c r="AD61" s="120">
        <f>SUM(Y61:AC61)</f>
        <v>0</v>
      </c>
      <c r="AF61" s="110" t="s">
        <v>1378</v>
      </c>
      <c r="AG61" s="163">
        <f>IF(AG60&gt;0,AG60/(AG57/AG56),0)</f>
        <v>0</v>
      </c>
      <c r="AH61" s="163">
        <f>IF(AH60&gt;0,AH60/(AH57/AH56),0)</f>
        <v>0</v>
      </c>
      <c r="AI61" s="35">
        <f>IF(AI60&gt;0,AI60/(AI57/AI56),0)</f>
        <v>0</v>
      </c>
      <c r="AJ61" s="35">
        <f>IF(AJ60&gt;0,AJ60/(AJ57/AJ56),0)</f>
        <v>0</v>
      </c>
      <c r="AK61" s="35">
        <f>IF(AK60&gt;0,AK60/(AK57/AK56),0)</f>
        <v>0</v>
      </c>
      <c r="AL61" s="120">
        <f>SUM(AG61:AK61)</f>
        <v>0</v>
      </c>
      <c r="AM61" s="162"/>
      <c r="AN61" s="162"/>
      <c r="AO61" s="162"/>
      <c r="AP61" s="162"/>
      <c r="AQ61" s="162"/>
      <c r="AR61" s="162"/>
      <c r="AS61" s="162"/>
      <c r="AT61" s="162"/>
      <c r="AU61" s="162"/>
      <c r="AV61" s="162"/>
      <c r="AW61" s="162"/>
      <c r="AX61" s="162"/>
      <c r="AY61" s="22"/>
      <c r="AZ61" s="22"/>
      <c r="BA61" s="24" t="s">
        <v>1294</v>
      </c>
      <c r="BB61" s="52">
        <f>BB59*BB41</f>
        <v>0</v>
      </c>
      <c r="BC61" s="52">
        <f>BC59*BC41</f>
        <v>0</v>
      </c>
      <c r="BD61" s="52">
        <f>BD59*BD41</f>
        <v>0</v>
      </c>
      <c r="BE61" s="52">
        <f>BE59*BE41</f>
        <v>0</v>
      </c>
      <c r="BF61" s="52">
        <f>BF59*BF41</f>
        <v>0</v>
      </c>
      <c r="BG61" s="63">
        <f>SUM(BB61:BF61)</f>
        <v>0</v>
      </c>
      <c r="BH61" s="27">
        <f>BG61*1000/'Indata byggnad och BBR krav'!$C$16</f>
        <v>0</v>
      </c>
      <c r="BI61" s="22"/>
      <c r="BJ61" s="24" t="s">
        <v>1294</v>
      </c>
      <c r="BK61" s="52">
        <f>BK59*BK41</f>
        <v>0</v>
      </c>
      <c r="BL61" s="52">
        <f>BL59*BL41</f>
        <v>0</v>
      </c>
      <c r="BM61" s="52">
        <f>BM59*BM41</f>
        <v>0</v>
      </c>
      <c r="BN61" s="52">
        <f>BN59*BN41</f>
        <v>0</v>
      </c>
      <c r="BO61" s="52">
        <f>BO59*BO41</f>
        <v>0</v>
      </c>
      <c r="BP61" s="63">
        <f>SUM(BK61:BO61)</f>
        <v>0</v>
      </c>
      <c r="BQ61" s="27">
        <f>BP61*1000/'Indata byggnad och BBR krav'!$C$16</f>
        <v>0</v>
      </c>
    </row>
    <row r="62" spans="4:77" ht="16.5" customHeight="1" thickBot="1" x14ac:dyDescent="0.3">
      <c r="E62" s="20"/>
      <c r="F62" s="262" t="s">
        <v>1044</v>
      </c>
      <c r="G62" s="262" t="s">
        <v>1045</v>
      </c>
      <c r="H62" s="3"/>
      <c r="I62" s="23" t="s">
        <v>1075</v>
      </c>
      <c r="J62" s="262" t="s">
        <v>1046</v>
      </c>
      <c r="K62" s="3"/>
      <c r="L62" s="23" t="s">
        <v>1075</v>
      </c>
      <c r="M62" s="262" t="s">
        <v>1046</v>
      </c>
      <c r="N62" s="3"/>
      <c r="O62" s="23" t="s">
        <v>1075</v>
      </c>
      <c r="P62" s="262" t="s">
        <v>1046</v>
      </c>
      <c r="Q62" s="3"/>
      <c r="R62" s="3"/>
      <c r="S62" s="3"/>
      <c r="T62" s="3"/>
      <c r="U62" s="3"/>
      <c r="V62" s="3"/>
      <c r="X62" s="110" t="s">
        <v>1379</v>
      </c>
      <c r="Y62" s="163">
        <f>Y61</f>
        <v>0</v>
      </c>
      <c r="Z62" s="163">
        <f>Z61-$Y$142</f>
        <v>0</v>
      </c>
      <c r="AA62" s="163">
        <f>AA60</f>
        <v>0</v>
      </c>
      <c r="AB62" s="163">
        <f>AB61</f>
        <v>0</v>
      </c>
      <c r="AC62" s="173">
        <f>AC61</f>
        <v>0</v>
      </c>
      <c r="AD62" s="163">
        <f>SUM(Y62:AC62)</f>
        <v>0</v>
      </c>
      <c r="AF62" s="110" t="s">
        <v>1379</v>
      </c>
      <c r="AG62" s="163">
        <f>AG61</f>
        <v>0</v>
      </c>
      <c r="AH62" s="163">
        <f>AH61-$Y$142</f>
        <v>0</v>
      </c>
      <c r="AI62" s="163">
        <f>AI60</f>
        <v>0</v>
      </c>
      <c r="AJ62" s="163">
        <f>AJ61</f>
        <v>0</v>
      </c>
      <c r="AK62" s="173">
        <f>AK61</f>
        <v>0</v>
      </c>
      <c r="AL62" s="170">
        <f>SUM(AG62:AK62)</f>
        <v>0</v>
      </c>
      <c r="AM62" s="162"/>
      <c r="AN62" s="162"/>
      <c r="AO62" s="162"/>
      <c r="AP62" s="162"/>
      <c r="AQ62" s="162"/>
      <c r="AR62" s="162"/>
      <c r="AS62" s="162"/>
      <c r="AT62" s="162"/>
      <c r="AU62" s="162"/>
      <c r="AV62" s="162"/>
      <c r="AW62" s="162"/>
      <c r="AX62" s="162"/>
      <c r="AY62" s="22"/>
      <c r="AZ62" s="22"/>
      <c r="BA62" s="22"/>
      <c r="BB62" s="22"/>
      <c r="BC62" s="22"/>
      <c r="BD62" s="22"/>
      <c r="BE62" s="22"/>
      <c r="BF62" s="22"/>
      <c r="BG62" s="22"/>
      <c r="BH62" s="22"/>
      <c r="BI62" s="22"/>
      <c r="BJ62" s="22"/>
      <c r="BK62" s="22"/>
    </row>
    <row r="63" spans="4:77" ht="16.5" customHeight="1" thickBot="1" x14ac:dyDescent="0.3">
      <c r="F63" s="249">
        <f t="shared" ref="F63:G74" si="143">F19</f>
        <v>2019</v>
      </c>
      <c r="G63" s="249" t="str">
        <f t="shared" ca="1" si="143"/>
        <v>jan</v>
      </c>
      <c r="H63" s="3"/>
      <c r="I63" s="41">
        <f t="shared" ref="I63:I74" si="144">IF(AND($D$41="Mäts separat",$D$40&gt;0),(J63/$J$41),0)</f>
        <v>0</v>
      </c>
      <c r="J63" s="259"/>
      <c r="K63" s="2"/>
      <c r="L63" s="41">
        <f t="shared" ref="L63:L74" si="145">IF(AND($D$41="Mäts separat",$D$40&gt;1),(M63/$M$41),0)</f>
        <v>0</v>
      </c>
      <c r="M63" s="246"/>
      <c r="N63" s="2"/>
      <c r="O63" s="41">
        <f t="shared" ref="O63:O74" si="146">IF(AND($D$41="Mäts separat",$D$40&gt;2),(P63/$P$41),0)</f>
        <v>0</v>
      </c>
      <c r="P63" s="246"/>
      <c r="Q63" s="2"/>
      <c r="R63" s="2"/>
      <c r="S63" s="2"/>
      <c r="T63" s="2"/>
      <c r="U63" s="2"/>
      <c r="V63" s="2"/>
      <c r="X63" s="162"/>
      <c r="Y63" s="86" t="s">
        <v>1260</v>
      </c>
      <c r="AG63" s="86" t="s">
        <v>1261</v>
      </c>
      <c r="AM63" s="162"/>
      <c r="AN63" s="162"/>
      <c r="AO63" s="162"/>
      <c r="AP63" s="162"/>
      <c r="AQ63" s="162"/>
      <c r="AR63" s="162"/>
      <c r="AS63" s="162"/>
      <c r="AT63" s="162"/>
      <c r="AU63" s="162"/>
      <c r="AV63" s="162"/>
      <c r="AW63" s="162"/>
      <c r="AX63" s="162"/>
      <c r="AY63" s="22"/>
      <c r="AZ63" s="22"/>
      <c r="BA63" s="24" t="s">
        <v>1399</v>
      </c>
      <c r="BB63" s="32">
        <f>'Indata byggnad och BBR krav'!$AA$9</f>
        <v>0.06</v>
      </c>
      <c r="BC63" s="32">
        <f>'Indata byggnad och BBR krav'!$AA$8</f>
        <v>2.1999999999999999E-2</v>
      </c>
      <c r="BD63" s="32">
        <f>'Indata byggnad och BBR krav'!$AA$10</f>
        <v>2.1999999999999999E-2</v>
      </c>
      <c r="BE63" s="32">
        <f>'Indata byggnad och BBR krav'!$AA$11</f>
        <v>0.26369999999999999</v>
      </c>
      <c r="BF63" s="32">
        <f>'Indata byggnad och BBR krav'!$AA$12</f>
        <v>0.30130000000000001</v>
      </c>
      <c r="BG63" s="191"/>
      <c r="BH63" s="22"/>
      <c r="BI63" s="22"/>
      <c r="BJ63" s="24" t="s">
        <v>1399</v>
      </c>
      <c r="BK63" s="32">
        <f>'Indata byggnad och BBR krav'!$AA$9</f>
        <v>0.06</v>
      </c>
      <c r="BL63" s="32">
        <f>'Indata byggnad och BBR krav'!$AA$8</f>
        <v>2.1999999999999999E-2</v>
      </c>
      <c r="BM63" s="32">
        <f>'Indata byggnad och BBR krav'!$AA$10</f>
        <v>2.1999999999999999E-2</v>
      </c>
      <c r="BN63" s="32">
        <f>'Indata byggnad och BBR krav'!$AA$11</f>
        <v>0.26369999999999999</v>
      </c>
      <c r="BO63" s="32">
        <f>'Indata byggnad och BBR krav'!$AA$12</f>
        <v>0.30130000000000001</v>
      </c>
      <c r="BP63" s="191"/>
    </row>
    <row r="64" spans="4:77" ht="16.5" customHeight="1" thickBot="1" x14ac:dyDescent="0.3">
      <c r="F64" s="249">
        <f t="shared" ca="1" si="143"/>
        <v>2019</v>
      </c>
      <c r="G64" s="249" t="str">
        <f t="shared" ca="1" si="143"/>
        <v>feb</v>
      </c>
      <c r="H64" s="3"/>
      <c r="I64" s="41">
        <f t="shared" si="144"/>
        <v>0</v>
      </c>
      <c r="J64" s="259"/>
      <c r="K64" s="2"/>
      <c r="L64" s="41">
        <f t="shared" si="145"/>
        <v>0</v>
      </c>
      <c r="M64" s="246"/>
      <c r="N64" s="2"/>
      <c r="O64" s="41">
        <f t="shared" si="146"/>
        <v>0</v>
      </c>
      <c r="P64" s="246"/>
      <c r="Q64" s="2"/>
      <c r="R64" s="2"/>
      <c r="S64" s="2"/>
      <c r="T64" s="2"/>
      <c r="U64" s="2"/>
      <c r="V64" s="2"/>
      <c r="X64" s="162"/>
      <c r="Y64" s="162" t="s">
        <v>14</v>
      </c>
      <c r="Z64" s="162" t="s">
        <v>1085</v>
      </c>
      <c r="AA64" s="162" t="s">
        <v>1100</v>
      </c>
      <c r="AB64" s="162" t="s">
        <v>1096</v>
      </c>
      <c r="AC64" s="162" t="s">
        <v>1097</v>
      </c>
      <c r="AD64" s="162" t="s">
        <v>1094</v>
      </c>
      <c r="AF64" s="162"/>
      <c r="AG64" s="162" t="s">
        <v>14</v>
      </c>
      <c r="AH64" s="162" t="s">
        <v>1085</v>
      </c>
      <c r="AI64" s="162" t="s">
        <v>1100</v>
      </c>
      <c r="AJ64" s="162" t="s">
        <v>1096</v>
      </c>
      <c r="AK64" s="162" t="s">
        <v>1097</v>
      </c>
      <c r="AL64" s="162" t="s">
        <v>1094</v>
      </c>
      <c r="AM64" s="162"/>
      <c r="AN64" s="162"/>
      <c r="AO64" s="162"/>
      <c r="AP64" s="162"/>
      <c r="AQ64" s="162"/>
      <c r="AR64" s="162"/>
      <c r="AS64" s="162"/>
      <c r="AT64" s="162"/>
      <c r="AU64" s="162"/>
      <c r="AV64" s="162"/>
      <c r="AW64" s="162"/>
      <c r="AX64" s="162"/>
      <c r="AY64" s="22"/>
      <c r="AZ64" s="297"/>
      <c r="BA64" s="298" t="s">
        <v>1408</v>
      </c>
      <c r="BB64" s="280">
        <f>BB59*1000/'Indata byggnad och BBR krav'!$C$40*'Indata byggnad och BBR krav'!$C$38*BB63</f>
        <v>0</v>
      </c>
      <c r="BC64" s="280">
        <f>BC59*1000/'Indata byggnad och BBR krav'!$C$40*'Indata byggnad och BBR krav'!$C$38*BC63</f>
        <v>0</v>
      </c>
      <c r="BD64" s="280">
        <f>BD59*1000/'Indata byggnad och BBR krav'!$C$40*'Indata byggnad och BBR krav'!$C$38*BD63</f>
        <v>0</v>
      </c>
      <c r="BE64" s="280">
        <f>BE59*1000/'Indata byggnad och BBR krav'!$C$40*'Indata byggnad och BBR krav'!$C$38*BE63</f>
        <v>0</v>
      </c>
      <c r="BF64" s="280">
        <f>BF59*1000/'Indata byggnad och BBR krav'!$C$40*'Indata byggnad och BBR krav'!$C$38*BF63</f>
        <v>0</v>
      </c>
      <c r="BG64" s="281">
        <f>SUM(BB64:BF64)</f>
        <v>0</v>
      </c>
      <c r="BH64" s="22"/>
      <c r="BI64" s="297"/>
      <c r="BJ64" s="298" t="s">
        <v>1408</v>
      </c>
      <c r="BK64" s="280">
        <f>BK59*1000/'Indata byggnad och BBR krav'!$C$40*'Indata byggnad och BBR krav'!$C$38*BK63</f>
        <v>0</v>
      </c>
      <c r="BL64" s="280">
        <f>BL59*1000/'Indata byggnad och BBR krav'!$C$40*'Indata byggnad och BBR krav'!$C$38*BL63</f>
        <v>0</v>
      </c>
      <c r="BM64" s="280">
        <f>BM59*1000/'Indata byggnad och BBR krav'!$C$40*'Indata byggnad och BBR krav'!$C$38*BM63</f>
        <v>0</v>
      </c>
      <c r="BN64" s="280">
        <f>BN59*1000/'Indata byggnad och BBR krav'!$C$40*'Indata byggnad och BBR krav'!$C$38*BN63</f>
        <v>0</v>
      </c>
      <c r="BO64" s="280">
        <f>BO59*1000/'Indata byggnad och BBR krav'!$C$40*'Indata byggnad och BBR krav'!$C$38*BO63</f>
        <v>0</v>
      </c>
      <c r="BP64" s="281">
        <f>SUM(BK64:BO64)</f>
        <v>0</v>
      </c>
    </row>
    <row r="65" spans="2:68" ht="16.5" customHeight="1" thickBot="1" x14ac:dyDescent="0.3">
      <c r="F65" s="249">
        <f t="shared" ca="1" si="143"/>
        <v>2019</v>
      </c>
      <c r="G65" s="249" t="str">
        <f t="shared" ca="1" si="143"/>
        <v>mars</v>
      </c>
      <c r="H65" s="3"/>
      <c r="I65" s="41">
        <f t="shared" si="144"/>
        <v>0</v>
      </c>
      <c r="J65" s="259"/>
      <c r="K65" s="2"/>
      <c r="L65" s="41">
        <f t="shared" si="145"/>
        <v>0</v>
      </c>
      <c r="M65" s="246"/>
      <c r="N65" s="2"/>
      <c r="O65" s="41">
        <f t="shared" si="146"/>
        <v>0</v>
      </c>
      <c r="P65" s="246"/>
      <c r="Q65" s="2"/>
      <c r="R65" s="2"/>
      <c r="S65" s="2"/>
      <c r="T65" s="2"/>
      <c r="U65" s="2"/>
      <c r="V65" s="2"/>
      <c r="X65" s="162"/>
      <c r="Y65" s="164">
        <f>IF($J$40=$Y$64,I63,0)+IF($M$40=$Y$64,L63,0)+IF($P$40=$Y$64,O63,0)</f>
        <v>0</v>
      </c>
      <c r="Z65" s="66">
        <f>IF(OR($J$40="El-panna",$J$40="Värmepump"),I63,0)+IF(OR($M$40="El-panna",$M$40="Värmepump"),L63,0)+IF(OR($P$40="El-panna",$P$40="Värmepump"),O63,0)</f>
        <v>0</v>
      </c>
      <c r="AA65" s="66">
        <f>IF(OR($J$40="Flispanna",$J$40="Pelletspanna",$J$40="Vedpanna"),I63,0)+IF(OR($M$40="Flispanna",$M$40="Pelletspanna",$M$40="Vedpanna"),L63,0)+IF(OR($P$40="Flispanna",$P$40="Pelletspanna",$P$40="Vedpanna"),O63,0)</f>
        <v>0</v>
      </c>
      <c r="AB65" s="67">
        <f>IF($J$40="Gaspanna",I63,0)+IF($M$40="Gaspanna",L63,0)+IF($P$40="Gaspanna",O63,0)</f>
        <v>0</v>
      </c>
      <c r="AC65" s="67">
        <f>IF($J$40="Oljepanna",I63,0)+IF($M$40="Oljepanna",L63,0)+IF($P$40="Oljepanna",O63,0)</f>
        <v>0</v>
      </c>
      <c r="AD65" s="67">
        <f t="shared" ref="AD65:AD76" si="147">Y65+Z65+AA65+AB65+AC65</f>
        <v>0</v>
      </c>
      <c r="AF65" s="162"/>
      <c r="AG65" s="164">
        <f>IF($D$41="Inkluderad i energi för tappvarmvatten",Y44*0.25,IF($D$41="Mäts separat",Y65,0))</f>
        <v>0</v>
      </c>
      <c r="AH65" s="164">
        <f t="shared" ref="AH65:AK76" si="148">IF($D$41="Inkluderad i energi för tappvarmvatten",Z44*0.25,IF($D$41="Mäts separat",Z65,0))</f>
        <v>0</v>
      </c>
      <c r="AI65" s="164">
        <f t="shared" si="148"/>
        <v>0</v>
      </c>
      <c r="AJ65" s="164">
        <f t="shared" si="148"/>
        <v>0</v>
      </c>
      <c r="AK65" s="164">
        <f t="shared" si="148"/>
        <v>0</v>
      </c>
      <c r="AL65" s="163">
        <f t="shared" ref="AL65:AL76" si="149">AG65+AH65+AI65+AJ65+AK65</f>
        <v>0</v>
      </c>
      <c r="AM65" s="162"/>
      <c r="AN65" s="162"/>
      <c r="AO65" s="162"/>
      <c r="AP65" s="162"/>
      <c r="AQ65" s="162"/>
      <c r="AR65" s="162"/>
      <c r="AS65" s="162"/>
      <c r="AT65" s="162"/>
      <c r="AU65" s="162"/>
      <c r="AV65" s="162"/>
      <c r="AW65" s="162"/>
      <c r="AX65" s="162"/>
      <c r="AY65" s="22"/>
      <c r="AZ65" s="297"/>
      <c r="BA65" s="299" t="s">
        <v>1448</v>
      </c>
      <c r="BB65" s="280">
        <f>BB59*1000/'Indata byggnad och BBR krav'!$C$16*'Indata byggnad och BBR krav'!$C$38*BB63</f>
        <v>0</v>
      </c>
      <c r="BC65" s="280">
        <f>BC59*1000/'Indata byggnad och BBR krav'!$C$16*'Indata byggnad och BBR krav'!$C$38*BC63</f>
        <v>0</v>
      </c>
      <c r="BD65" s="280">
        <f>BD59*1000/'Indata byggnad och BBR krav'!$C$16*'Indata byggnad och BBR krav'!$C$38*BD63</f>
        <v>0</v>
      </c>
      <c r="BE65" s="280">
        <f>BE59*1000/'Indata byggnad och BBR krav'!$C$16*'Indata byggnad och BBR krav'!$C$38*BE63</f>
        <v>0</v>
      </c>
      <c r="BF65" s="280">
        <f>BF59*1000/'Indata byggnad och BBR krav'!$C$16*'Indata byggnad och BBR krav'!$C$38*BF63</f>
        <v>0</v>
      </c>
      <c r="BG65" s="281">
        <f t="shared" ref="BG65:BG66" si="150">SUM(BB65:BF65)</f>
        <v>0</v>
      </c>
      <c r="BH65" s="22"/>
      <c r="BI65" s="297"/>
      <c r="BJ65" s="299" t="s">
        <v>1448</v>
      </c>
      <c r="BK65" s="280">
        <f>BK59*1000/'Indata byggnad och BBR krav'!$C$16*'Indata byggnad och BBR krav'!$C$38*BK63</f>
        <v>0</v>
      </c>
      <c r="BL65" s="280">
        <f>BL59*1000/'Indata byggnad och BBR krav'!$C$16*'Indata byggnad och BBR krav'!$C$38*BL63</f>
        <v>0</v>
      </c>
      <c r="BM65" s="280">
        <f>BM59*1000/'Indata byggnad och BBR krav'!$C$16*'Indata byggnad och BBR krav'!$C$38*BM63</f>
        <v>0</v>
      </c>
      <c r="BN65" s="280">
        <f>BN59*1000/'Indata byggnad och BBR krav'!$C$16*'Indata byggnad och BBR krav'!$C$38*BN63</f>
        <v>0</v>
      </c>
      <c r="BO65" s="280">
        <f>BN59*1000/'Indata byggnad och BBR krav'!$C$16*'Indata byggnad och BBR krav'!$C$38*BN63</f>
        <v>0</v>
      </c>
      <c r="BP65" s="281">
        <f t="shared" ref="BP65:BP66" si="151">SUM(BK65:BO65)</f>
        <v>0</v>
      </c>
    </row>
    <row r="66" spans="2:68" ht="16.5" customHeight="1" thickBot="1" x14ac:dyDescent="0.3">
      <c r="F66" s="249">
        <f t="shared" ca="1" si="143"/>
        <v>2019</v>
      </c>
      <c r="G66" s="249" t="str">
        <f t="shared" ca="1" si="143"/>
        <v>apr</v>
      </c>
      <c r="H66" s="3"/>
      <c r="I66" s="41">
        <f t="shared" si="144"/>
        <v>0</v>
      </c>
      <c r="J66" s="259"/>
      <c r="K66" s="2"/>
      <c r="L66" s="41">
        <f t="shared" si="145"/>
        <v>0</v>
      </c>
      <c r="M66" s="246"/>
      <c r="N66" s="2"/>
      <c r="O66" s="41">
        <f t="shared" si="146"/>
        <v>0</v>
      </c>
      <c r="P66" s="246"/>
      <c r="Q66" s="2"/>
      <c r="R66" s="2"/>
      <c r="S66" s="2"/>
      <c r="T66" s="2"/>
      <c r="U66" s="2"/>
      <c r="V66" s="2"/>
      <c r="X66" s="162"/>
      <c r="Y66" s="164">
        <f t="shared" ref="Y66:Y76" si="152">IF($J$40=$Y$64,I64,0)+IF($M$40=$Y$64,L64,0)+IF($P$40=$Y$64,O64,0)</f>
        <v>0</v>
      </c>
      <c r="Z66" s="66">
        <f t="shared" ref="Z66:Z76" si="153">IF(OR($J$40="El-panna",$J$40="Värmepump"),I64,0)+IF(OR($M$40="El-panna",$M$40="Värmepump"),L64,0)+IF(OR($P$40="El-panna",$P$40="Värmepump"),O64,0)</f>
        <v>0</v>
      </c>
      <c r="AA66" s="66">
        <f t="shared" ref="AA66:AA76" si="154">IF(OR($J$40="Flispanna",$J$40="Pelletspanna",$J$40="Vedpanna"),I64,0)+IF(OR($M$40="Flispanna",$M$40="Pelletspanna",$M$40="Vedpanna"),L64,0)+IF(OR($P$40="Flispanna",$P$40="Pelletspanna",$P$40="Vedpanna"),O64,0)</f>
        <v>0</v>
      </c>
      <c r="AB66" s="67">
        <f t="shared" ref="AB66:AB76" si="155">IF($J$40="Gaspanna",I64,0)+IF($M$40="Gaspanna",L64,0)+IF($P$40="Gaspanna",O64,0)</f>
        <v>0</v>
      </c>
      <c r="AC66" s="67">
        <f t="shared" ref="AC66:AC76" si="156">IF($J$40="Oljepanna",I64,0)+IF($M$40="Oljepanna",L64,0)+IF($P$40="Oljepanna",O64,0)</f>
        <v>0</v>
      </c>
      <c r="AD66" s="67">
        <f t="shared" si="147"/>
        <v>0</v>
      </c>
      <c r="AF66" s="162"/>
      <c r="AG66" s="164">
        <f t="shared" ref="AG66:AG76" si="157">IF($D$41="Inkluderad i energi för tappvarmvatten",Y45*0.25,IF($D$41="Mäts separat",Y66,0))</f>
        <v>0</v>
      </c>
      <c r="AH66" s="164">
        <f t="shared" si="148"/>
        <v>0</v>
      </c>
      <c r="AI66" s="164">
        <f t="shared" si="148"/>
        <v>0</v>
      </c>
      <c r="AJ66" s="164">
        <f t="shared" si="148"/>
        <v>0</v>
      </c>
      <c r="AK66" s="164">
        <f t="shared" si="148"/>
        <v>0</v>
      </c>
      <c r="AL66" s="163">
        <f t="shared" si="149"/>
        <v>0</v>
      </c>
      <c r="AM66" s="162"/>
      <c r="AN66" s="162"/>
      <c r="AO66" s="162"/>
      <c r="AP66" s="162"/>
      <c r="AQ66" s="162"/>
      <c r="AR66" s="162"/>
      <c r="AS66" s="162"/>
      <c r="AT66" s="162"/>
      <c r="AU66" s="162"/>
      <c r="AV66" s="162"/>
      <c r="AW66" s="162"/>
      <c r="AX66" s="162"/>
      <c r="AY66" s="22"/>
      <c r="AZ66" s="297"/>
      <c r="BA66" s="299" t="s">
        <v>1449</v>
      </c>
      <c r="BB66" s="282">
        <f>BB64/50</f>
        <v>0</v>
      </c>
      <c r="BC66" s="282">
        <f t="shared" ref="BC66:BF66" si="158">BC64/50</f>
        <v>0</v>
      </c>
      <c r="BD66" s="282">
        <f t="shared" si="158"/>
        <v>0</v>
      </c>
      <c r="BE66" s="282">
        <f t="shared" si="158"/>
        <v>0</v>
      </c>
      <c r="BF66" s="282">
        <f t="shared" si="158"/>
        <v>0</v>
      </c>
      <c r="BG66" s="283">
        <f t="shared" si="150"/>
        <v>0</v>
      </c>
      <c r="BH66" s="22"/>
      <c r="BI66" s="297"/>
      <c r="BJ66" s="299" t="s">
        <v>1449</v>
      </c>
      <c r="BK66" s="282">
        <f>BK64/50</f>
        <v>0</v>
      </c>
      <c r="BL66" s="282">
        <f t="shared" ref="BL66:BO66" si="159">BL64/50</f>
        <v>0</v>
      </c>
      <c r="BM66" s="282">
        <f t="shared" si="159"/>
        <v>0</v>
      </c>
      <c r="BN66" s="282">
        <f t="shared" si="159"/>
        <v>0</v>
      </c>
      <c r="BO66" s="282">
        <f t="shared" si="159"/>
        <v>0</v>
      </c>
      <c r="BP66" s="283">
        <f t="shared" si="151"/>
        <v>0</v>
      </c>
    </row>
    <row r="67" spans="2:68" ht="16.5" customHeight="1" x14ac:dyDescent="0.25">
      <c r="F67" s="249">
        <f t="shared" ca="1" si="143"/>
        <v>2019</v>
      </c>
      <c r="G67" s="249" t="str">
        <f t="shared" ca="1" si="143"/>
        <v>maj</v>
      </c>
      <c r="H67" s="3"/>
      <c r="I67" s="41">
        <f t="shared" si="144"/>
        <v>0</v>
      </c>
      <c r="J67" s="259"/>
      <c r="K67" s="2"/>
      <c r="L67" s="41">
        <f t="shared" si="145"/>
        <v>0</v>
      </c>
      <c r="M67" s="246"/>
      <c r="N67" s="2"/>
      <c r="O67" s="41">
        <f t="shared" si="146"/>
        <v>0</v>
      </c>
      <c r="P67" s="246"/>
      <c r="Q67" s="2"/>
      <c r="R67" s="2"/>
      <c r="S67" s="2"/>
      <c r="T67" s="2"/>
      <c r="U67" s="2"/>
      <c r="V67" s="2"/>
      <c r="X67" s="162"/>
      <c r="Y67" s="164">
        <f t="shared" si="152"/>
        <v>0</v>
      </c>
      <c r="Z67" s="66">
        <f t="shared" si="153"/>
        <v>0</v>
      </c>
      <c r="AA67" s="66">
        <f t="shared" si="154"/>
        <v>0</v>
      </c>
      <c r="AB67" s="67">
        <f t="shared" si="155"/>
        <v>0</v>
      </c>
      <c r="AC67" s="67">
        <f t="shared" si="156"/>
        <v>0</v>
      </c>
      <c r="AD67" s="67">
        <f t="shared" si="147"/>
        <v>0</v>
      </c>
      <c r="AF67" s="162"/>
      <c r="AG67" s="164">
        <f t="shared" si="157"/>
        <v>0</v>
      </c>
      <c r="AH67" s="164">
        <f t="shared" si="148"/>
        <v>0</v>
      </c>
      <c r="AI67" s="164">
        <f t="shared" si="148"/>
        <v>0</v>
      </c>
      <c r="AJ67" s="164">
        <f t="shared" si="148"/>
        <v>0</v>
      </c>
      <c r="AK67" s="164">
        <f t="shared" si="148"/>
        <v>0</v>
      </c>
      <c r="AL67" s="163">
        <f t="shared" si="149"/>
        <v>0</v>
      </c>
      <c r="AM67" s="162"/>
      <c r="AN67" s="162"/>
      <c r="AO67" s="162"/>
      <c r="AP67" s="162"/>
      <c r="AQ67" s="162"/>
      <c r="AR67" s="162"/>
      <c r="AS67" s="162"/>
      <c r="AT67" s="162"/>
      <c r="AU67" s="162"/>
      <c r="AV67" s="162"/>
      <c r="AW67" s="162"/>
      <c r="AX67" s="162"/>
      <c r="AY67" s="22"/>
      <c r="AZ67" s="22"/>
      <c r="BA67" s="22"/>
      <c r="BB67" s="22"/>
      <c r="BC67" s="22"/>
      <c r="BD67" s="22"/>
      <c r="BE67" s="22"/>
      <c r="BF67" s="22"/>
      <c r="BG67" s="22"/>
      <c r="BH67" s="22"/>
      <c r="BI67" s="22"/>
      <c r="BJ67" s="22"/>
      <c r="BK67" s="22"/>
    </row>
    <row r="68" spans="2:68" ht="16.5" customHeight="1" x14ac:dyDescent="0.25">
      <c r="F68" s="249">
        <f t="shared" ca="1" si="143"/>
        <v>2019</v>
      </c>
      <c r="G68" s="249" t="str">
        <f t="shared" ca="1" si="143"/>
        <v xml:space="preserve">jun </v>
      </c>
      <c r="H68" s="3"/>
      <c r="I68" s="41">
        <f t="shared" si="144"/>
        <v>0</v>
      </c>
      <c r="J68" s="259"/>
      <c r="K68" s="2"/>
      <c r="L68" s="41">
        <f t="shared" si="145"/>
        <v>0</v>
      </c>
      <c r="M68" s="246"/>
      <c r="N68" s="2"/>
      <c r="O68" s="41">
        <f t="shared" si="146"/>
        <v>0</v>
      </c>
      <c r="P68" s="246"/>
      <c r="Q68" s="2"/>
      <c r="R68" s="2"/>
      <c r="S68" s="2"/>
      <c r="T68" s="2"/>
      <c r="U68" s="2"/>
      <c r="V68" s="2"/>
      <c r="X68" s="162"/>
      <c r="Y68" s="164">
        <f t="shared" si="152"/>
        <v>0</v>
      </c>
      <c r="Z68" s="66">
        <f t="shared" si="153"/>
        <v>0</v>
      </c>
      <c r="AA68" s="66">
        <f t="shared" si="154"/>
        <v>0</v>
      </c>
      <c r="AB68" s="67">
        <f t="shared" si="155"/>
        <v>0</v>
      </c>
      <c r="AC68" s="67">
        <f t="shared" si="156"/>
        <v>0</v>
      </c>
      <c r="AD68" s="67">
        <f t="shared" si="147"/>
        <v>0</v>
      </c>
      <c r="AF68" s="162"/>
      <c r="AG68" s="164">
        <f t="shared" si="157"/>
        <v>0</v>
      </c>
      <c r="AH68" s="164">
        <f t="shared" si="148"/>
        <v>0</v>
      </c>
      <c r="AI68" s="164">
        <f t="shared" si="148"/>
        <v>0</v>
      </c>
      <c r="AJ68" s="164">
        <f t="shared" si="148"/>
        <v>0</v>
      </c>
      <c r="AK68" s="164">
        <f t="shared" si="148"/>
        <v>0</v>
      </c>
      <c r="AL68" s="163">
        <f t="shared" si="149"/>
        <v>0</v>
      </c>
      <c r="AM68" s="162"/>
      <c r="AN68" s="162"/>
      <c r="AO68" s="162"/>
      <c r="AP68" s="162"/>
      <c r="AQ68" s="162"/>
      <c r="AR68" s="162"/>
      <c r="AS68" s="162"/>
      <c r="AT68" s="162"/>
      <c r="AU68" s="162"/>
      <c r="AV68" s="162"/>
      <c r="AW68" s="162"/>
      <c r="AX68" s="162"/>
      <c r="AY68" s="22"/>
      <c r="AZ68" s="22"/>
      <c r="BA68" s="22"/>
      <c r="BB68" s="22"/>
      <c r="BC68" s="22"/>
      <c r="BD68" s="22"/>
      <c r="BE68" s="22"/>
      <c r="BF68" s="22"/>
      <c r="BG68" s="22"/>
      <c r="BH68" s="22"/>
      <c r="BI68" s="22"/>
      <c r="BJ68" s="22"/>
      <c r="BK68" s="22"/>
    </row>
    <row r="69" spans="2:68" ht="16.5" customHeight="1" x14ac:dyDescent="0.25">
      <c r="C69" s="17"/>
      <c r="F69" s="249">
        <f t="shared" ca="1" si="143"/>
        <v>2019</v>
      </c>
      <c r="G69" s="249" t="str">
        <f t="shared" ca="1" si="143"/>
        <v>jul</v>
      </c>
      <c r="H69" s="3"/>
      <c r="I69" s="41">
        <f t="shared" si="144"/>
        <v>0</v>
      </c>
      <c r="J69" s="259"/>
      <c r="K69" s="2"/>
      <c r="L69" s="41">
        <f t="shared" si="145"/>
        <v>0</v>
      </c>
      <c r="M69" s="246"/>
      <c r="N69" s="2"/>
      <c r="O69" s="41">
        <f t="shared" si="146"/>
        <v>0</v>
      </c>
      <c r="P69" s="246"/>
      <c r="Q69" s="2"/>
      <c r="R69" s="2"/>
      <c r="S69" s="2"/>
      <c r="T69" s="2"/>
      <c r="U69" s="2"/>
      <c r="V69" s="2"/>
      <c r="X69" s="162"/>
      <c r="Y69" s="164">
        <f t="shared" si="152"/>
        <v>0</v>
      </c>
      <c r="Z69" s="66">
        <f t="shared" si="153"/>
        <v>0</v>
      </c>
      <c r="AA69" s="66">
        <f t="shared" si="154"/>
        <v>0</v>
      </c>
      <c r="AB69" s="67">
        <f t="shared" si="155"/>
        <v>0</v>
      </c>
      <c r="AC69" s="67">
        <f t="shared" si="156"/>
        <v>0</v>
      </c>
      <c r="AD69" s="67">
        <f t="shared" si="147"/>
        <v>0</v>
      </c>
      <c r="AF69" s="162"/>
      <c r="AG69" s="164">
        <f t="shared" si="157"/>
        <v>0</v>
      </c>
      <c r="AH69" s="164">
        <f t="shared" si="148"/>
        <v>0</v>
      </c>
      <c r="AI69" s="164">
        <f t="shared" si="148"/>
        <v>0</v>
      </c>
      <c r="AJ69" s="164">
        <f t="shared" si="148"/>
        <v>0</v>
      </c>
      <c r="AK69" s="164">
        <f t="shared" si="148"/>
        <v>0</v>
      </c>
      <c r="AL69" s="163">
        <f t="shared" si="149"/>
        <v>0</v>
      </c>
      <c r="AM69" s="162"/>
      <c r="AN69" s="162"/>
      <c r="AO69" s="162"/>
      <c r="AP69" s="162"/>
      <c r="AQ69" s="162"/>
      <c r="AR69" s="162"/>
      <c r="AS69" s="162"/>
      <c r="AT69" s="162"/>
      <c r="AU69" s="162"/>
      <c r="AV69" s="162"/>
      <c r="AW69" s="162"/>
      <c r="AX69" s="162"/>
      <c r="AY69" s="22"/>
      <c r="AZ69" s="22"/>
      <c r="BA69" s="22"/>
      <c r="BB69" s="22"/>
      <c r="BC69" s="22"/>
      <c r="BD69" s="22"/>
      <c r="BE69" s="22"/>
      <c r="BF69" s="22"/>
      <c r="BG69" s="22"/>
      <c r="BH69" s="22"/>
      <c r="BI69" s="22"/>
      <c r="BJ69" s="22"/>
      <c r="BK69" s="22"/>
    </row>
    <row r="70" spans="2:68" ht="16.5" customHeight="1" x14ac:dyDescent="0.25">
      <c r="F70" s="249">
        <f t="shared" ca="1" si="143"/>
        <v>2019</v>
      </c>
      <c r="G70" s="249" t="str">
        <f t="shared" ca="1" si="143"/>
        <v>aug</v>
      </c>
      <c r="H70" s="3"/>
      <c r="I70" s="41">
        <f t="shared" si="144"/>
        <v>0</v>
      </c>
      <c r="J70" s="259"/>
      <c r="K70" s="2"/>
      <c r="L70" s="41">
        <f t="shared" si="145"/>
        <v>0</v>
      </c>
      <c r="M70" s="246"/>
      <c r="N70" s="2"/>
      <c r="O70" s="41">
        <f t="shared" si="146"/>
        <v>0</v>
      </c>
      <c r="P70" s="246"/>
      <c r="Q70" s="2"/>
      <c r="R70" s="2"/>
      <c r="S70" s="2"/>
      <c r="T70" s="2"/>
      <c r="U70" s="2"/>
      <c r="V70" s="2"/>
      <c r="X70" s="162"/>
      <c r="Y70" s="164">
        <f t="shared" si="152"/>
        <v>0</v>
      </c>
      <c r="Z70" s="66">
        <f t="shared" si="153"/>
        <v>0</v>
      </c>
      <c r="AA70" s="66">
        <f t="shared" si="154"/>
        <v>0</v>
      </c>
      <c r="AB70" s="67">
        <f t="shared" si="155"/>
        <v>0</v>
      </c>
      <c r="AC70" s="67">
        <f t="shared" si="156"/>
        <v>0</v>
      </c>
      <c r="AD70" s="67">
        <f t="shared" si="147"/>
        <v>0</v>
      </c>
      <c r="AF70" s="162"/>
      <c r="AG70" s="164">
        <f t="shared" si="157"/>
        <v>0</v>
      </c>
      <c r="AH70" s="164">
        <f t="shared" si="148"/>
        <v>0</v>
      </c>
      <c r="AI70" s="164">
        <f t="shared" si="148"/>
        <v>0</v>
      </c>
      <c r="AJ70" s="164">
        <f t="shared" si="148"/>
        <v>0</v>
      </c>
      <c r="AK70" s="164">
        <f t="shared" si="148"/>
        <v>0</v>
      </c>
      <c r="AL70" s="163">
        <f t="shared" si="149"/>
        <v>0</v>
      </c>
      <c r="AM70" s="162"/>
      <c r="AN70" s="162"/>
      <c r="AO70" s="162"/>
      <c r="AP70" s="162"/>
      <c r="AQ70" s="162"/>
      <c r="AR70" s="162"/>
      <c r="AS70" s="162"/>
      <c r="AT70" s="162"/>
      <c r="AU70" s="162"/>
      <c r="AV70" s="162"/>
      <c r="AW70" s="162"/>
      <c r="AX70" s="162"/>
      <c r="AY70" s="22"/>
      <c r="AZ70" s="22"/>
      <c r="BA70" s="22"/>
      <c r="BB70" s="22"/>
      <c r="BC70" s="22"/>
      <c r="BD70" s="22"/>
      <c r="BE70" s="22"/>
      <c r="BF70" s="22"/>
      <c r="BG70" s="22"/>
      <c r="BH70" s="22"/>
      <c r="BI70" s="22"/>
      <c r="BJ70" s="22"/>
      <c r="BK70" s="22"/>
      <c r="BL70" s="185" t="s">
        <v>1391</v>
      </c>
      <c r="BM70" s="22"/>
      <c r="BN70" s="22"/>
    </row>
    <row r="71" spans="2:68" ht="16.5" customHeight="1" x14ac:dyDescent="0.25">
      <c r="F71" s="249">
        <f t="shared" ca="1" si="143"/>
        <v>2019</v>
      </c>
      <c r="G71" s="249" t="str">
        <f t="shared" ca="1" si="143"/>
        <v>sept</v>
      </c>
      <c r="H71" s="3"/>
      <c r="I71" s="41">
        <f t="shared" si="144"/>
        <v>0</v>
      </c>
      <c r="J71" s="259"/>
      <c r="K71" s="2"/>
      <c r="L71" s="41">
        <f t="shared" si="145"/>
        <v>0</v>
      </c>
      <c r="M71" s="246"/>
      <c r="N71" s="2"/>
      <c r="O71" s="41">
        <f t="shared" si="146"/>
        <v>0</v>
      </c>
      <c r="P71" s="246"/>
      <c r="Q71" s="2"/>
      <c r="R71" s="2"/>
      <c r="S71" s="2"/>
      <c r="T71" s="2"/>
      <c r="U71" s="2"/>
      <c r="V71" s="2"/>
      <c r="X71" s="162"/>
      <c r="Y71" s="164">
        <f t="shared" si="152"/>
        <v>0</v>
      </c>
      <c r="Z71" s="66">
        <f t="shared" si="153"/>
        <v>0</v>
      </c>
      <c r="AA71" s="66">
        <f t="shared" si="154"/>
        <v>0</v>
      </c>
      <c r="AB71" s="67">
        <f t="shared" si="155"/>
        <v>0</v>
      </c>
      <c r="AC71" s="67">
        <f t="shared" si="156"/>
        <v>0</v>
      </c>
      <c r="AD71" s="67">
        <f t="shared" si="147"/>
        <v>0</v>
      </c>
      <c r="AF71" s="162"/>
      <c r="AG71" s="164">
        <f t="shared" si="157"/>
        <v>0</v>
      </c>
      <c r="AH71" s="164">
        <f t="shared" si="148"/>
        <v>0</v>
      </c>
      <c r="AI71" s="164">
        <f t="shared" si="148"/>
        <v>0</v>
      </c>
      <c r="AJ71" s="164">
        <f t="shared" si="148"/>
        <v>0</v>
      </c>
      <c r="AK71" s="164">
        <f t="shared" si="148"/>
        <v>0</v>
      </c>
      <c r="AL71" s="163">
        <f t="shared" si="149"/>
        <v>0</v>
      </c>
      <c r="AM71" s="162"/>
      <c r="AN71" s="162"/>
      <c r="AO71" s="162"/>
      <c r="AP71" s="162"/>
      <c r="AQ71" s="162"/>
      <c r="AR71" s="162"/>
      <c r="AS71" s="162"/>
      <c r="AT71" s="162"/>
      <c r="AU71" s="162"/>
      <c r="AV71" s="162"/>
      <c r="AW71" s="162"/>
      <c r="AX71" s="162"/>
      <c r="AY71" s="22"/>
      <c r="AZ71" s="22"/>
      <c r="BA71" s="22"/>
      <c r="BB71" s="185" t="s">
        <v>1390</v>
      </c>
      <c r="BC71" s="22"/>
      <c r="BD71" s="22"/>
      <c r="BE71" s="22"/>
      <c r="BF71" s="22"/>
      <c r="BG71" s="22"/>
      <c r="BH71" s="22"/>
      <c r="BI71" s="22"/>
      <c r="BJ71" s="22"/>
    </row>
    <row r="72" spans="2:68" ht="16.5" customHeight="1" x14ac:dyDescent="0.25">
      <c r="F72" s="249">
        <f t="shared" ca="1" si="143"/>
        <v>2019</v>
      </c>
      <c r="G72" s="249" t="str">
        <f t="shared" ca="1" si="143"/>
        <v>okt</v>
      </c>
      <c r="H72" s="3"/>
      <c r="I72" s="41">
        <f t="shared" si="144"/>
        <v>0</v>
      </c>
      <c r="J72" s="259"/>
      <c r="K72" s="2"/>
      <c r="L72" s="41">
        <f t="shared" si="145"/>
        <v>0</v>
      </c>
      <c r="M72" s="246"/>
      <c r="N72" s="2"/>
      <c r="O72" s="41">
        <f t="shared" si="146"/>
        <v>0</v>
      </c>
      <c r="P72" s="246"/>
      <c r="Q72" s="2"/>
      <c r="R72" s="2"/>
      <c r="S72" s="2"/>
      <c r="T72" s="2"/>
      <c r="U72" s="2"/>
      <c r="V72" s="2"/>
      <c r="X72" s="162"/>
      <c r="Y72" s="164">
        <f t="shared" si="152"/>
        <v>0</v>
      </c>
      <c r="Z72" s="66">
        <f t="shared" si="153"/>
        <v>0</v>
      </c>
      <c r="AA72" s="66">
        <f t="shared" si="154"/>
        <v>0</v>
      </c>
      <c r="AB72" s="67">
        <f t="shared" si="155"/>
        <v>0</v>
      </c>
      <c r="AC72" s="67">
        <f t="shared" si="156"/>
        <v>0</v>
      </c>
      <c r="AD72" s="67">
        <f t="shared" si="147"/>
        <v>0</v>
      </c>
      <c r="AF72" s="162"/>
      <c r="AG72" s="164">
        <f t="shared" si="157"/>
        <v>0</v>
      </c>
      <c r="AH72" s="164">
        <f t="shared" si="148"/>
        <v>0</v>
      </c>
      <c r="AI72" s="164">
        <f t="shared" si="148"/>
        <v>0</v>
      </c>
      <c r="AJ72" s="164">
        <f t="shared" si="148"/>
        <v>0</v>
      </c>
      <c r="AK72" s="164">
        <f t="shared" si="148"/>
        <v>0</v>
      </c>
      <c r="AL72" s="163">
        <f t="shared" si="149"/>
        <v>0</v>
      </c>
      <c r="AM72" s="162"/>
      <c r="AN72" s="162"/>
      <c r="AO72" s="162"/>
      <c r="AP72" s="162"/>
      <c r="AQ72" s="162"/>
      <c r="AR72" s="162"/>
      <c r="AS72" s="162"/>
      <c r="AT72" s="162"/>
      <c r="AU72" s="162"/>
      <c r="AV72" s="162"/>
      <c r="AW72" s="162"/>
      <c r="AX72" s="162"/>
      <c r="BL72" s="21" t="s">
        <v>1105</v>
      </c>
    </row>
    <row r="73" spans="2:68" ht="16.5" customHeight="1" x14ac:dyDescent="0.25">
      <c r="F73" s="249">
        <f t="shared" ca="1" si="143"/>
        <v>2019</v>
      </c>
      <c r="G73" s="249" t="str">
        <f t="shared" ca="1" si="143"/>
        <v>nov</v>
      </c>
      <c r="H73" s="3"/>
      <c r="I73" s="41">
        <f t="shared" si="144"/>
        <v>0</v>
      </c>
      <c r="J73" s="259"/>
      <c r="K73" s="2"/>
      <c r="L73" s="41">
        <f t="shared" si="145"/>
        <v>0</v>
      </c>
      <c r="M73" s="246"/>
      <c r="N73" s="2"/>
      <c r="O73" s="41">
        <f t="shared" si="146"/>
        <v>0</v>
      </c>
      <c r="P73" s="246"/>
      <c r="Q73" s="2"/>
      <c r="R73" s="2"/>
      <c r="S73" s="2"/>
      <c r="T73" s="2"/>
      <c r="U73" s="2"/>
      <c r="V73" s="2"/>
      <c r="X73" s="162"/>
      <c r="Y73" s="164">
        <f t="shared" si="152"/>
        <v>0</v>
      </c>
      <c r="Z73" s="66">
        <f t="shared" si="153"/>
        <v>0</v>
      </c>
      <c r="AA73" s="66">
        <f t="shared" si="154"/>
        <v>0</v>
      </c>
      <c r="AB73" s="67">
        <f t="shared" si="155"/>
        <v>0</v>
      </c>
      <c r="AC73" s="67">
        <f t="shared" si="156"/>
        <v>0</v>
      </c>
      <c r="AD73" s="67">
        <f t="shared" si="147"/>
        <v>0</v>
      </c>
      <c r="AF73" s="162"/>
      <c r="AG73" s="164">
        <f t="shared" si="157"/>
        <v>0</v>
      </c>
      <c r="AH73" s="164">
        <f t="shared" si="148"/>
        <v>0</v>
      </c>
      <c r="AI73" s="164">
        <f t="shared" si="148"/>
        <v>0</v>
      </c>
      <c r="AJ73" s="164">
        <f t="shared" si="148"/>
        <v>0</v>
      </c>
      <c r="AK73" s="164">
        <f t="shared" si="148"/>
        <v>0</v>
      </c>
      <c r="AL73" s="163">
        <f t="shared" si="149"/>
        <v>0</v>
      </c>
      <c r="AM73" s="162"/>
      <c r="AN73" s="162"/>
      <c r="AO73" s="162"/>
      <c r="AP73" s="162"/>
      <c r="AQ73" s="162"/>
      <c r="AR73" s="162"/>
      <c r="AS73" s="162"/>
      <c r="AT73" s="162"/>
      <c r="AU73" s="162"/>
      <c r="AV73" s="162"/>
      <c r="AW73" s="162"/>
      <c r="AX73" s="162"/>
      <c r="BB73" s="21" t="s">
        <v>1105</v>
      </c>
      <c r="BK73" s="24" t="s">
        <v>1093</v>
      </c>
      <c r="BL73" s="32" t="s">
        <v>25</v>
      </c>
      <c r="BM73" s="32" t="s">
        <v>1085</v>
      </c>
    </row>
    <row r="74" spans="2:68" ht="16.5" customHeight="1" x14ac:dyDescent="0.25">
      <c r="F74" s="249">
        <f t="shared" ca="1" si="143"/>
        <v>2019</v>
      </c>
      <c r="G74" s="249" t="str">
        <f t="shared" ca="1" si="143"/>
        <v>dec</v>
      </c>
      <c r="H74" s="3"/>
      <c r="I74" s="41">
        <f t="shared" si="144"/>
        <v>0</v>
      </c>
      <c r="J74" s="259"/>
      <c r="K74" s="2"/>
      <c r="L74" s="41">
        <f t="shared" si="145"/>
        <v>0</v>
      </c>
      <c r="M74" s="246"/>
      <c r="N74" s="2"/>
      <c r="O74" s="41">
        <f t="shared" si="146"/>
        <v>0</v>
      </c>
      <c r="P74" s="246"/>
      <c r="Q74" s="2"/>
      <c r="R74" s="2"/>
      <c r="S74" s="2"/>
      <c r="T74" s="2"/>
      <c r="U74" s="2"/>
      <c r="V74" s="2"/>
      <c r="X74" s="110"/>
      <c r="Y74" s="164">
        <f t="shared" si="152"/>
        <v>0</v>
      </c>
      <c r="Z74" s="66">
        <f t="shared" si="153"/>
        <v>0</v>
      </c>
      <c r="AA74" s="66">
        <f t="shared" si="154"/>
        <v>0</v>
      </c>
      <c r="AB74" s="67">
        <f t="shared" si="155"/>
        <v>0</v>
      </c>
      <c r="AC74" s="67">
        <f t="shared" si="156"/>
        <v>0</v>
      </c>
      <c r="AD74" s="67">
        <f t="shared" si="147"/>
        <v>0</v>
      </c>
      <c r="AF74" s="162"/>
      <c r="AG74" s="164">
        <f t="shared" si="157"/>
        <v>0</v>
      </c>
      <c r="AH74" s="164">
        <f t="shared" si="148"/>
        <v>0</v>
      </c>
      <c r="AI74" s="164">
        <f t="shared" si="148"/>
        <v>0</v>
      </c>
      <c r="AJ74" s="164">
        <f t="shared" si="148"/>
        <v>0</v>
      </c>
      <c r="AK74" s="164">
        <f t="shared" si="148"/>
        <v>0</v>
      </c>
      <c r="AL74" s="163">
        <f t="shared" si="149"/>
        <v>0</v>
      </c>
      <c r="BA74" s="24" t="s">
        <v>1093</v>
      </c>
      <c r="BB74" s="32" t="s">
        <v>25</v>
      </c>
      <c r="BC74" s="32" t="s">
        <v>1085</v>
      </c>
      <c r="BK74" s="24" t="s">
        <v>1285</v>
      </c>
      <c r="BL74" s="32">
        <v>1</v>
      </c>
      <c r="BM74" s="32">
        <v>1.6</v>
      </c>
    </row>
    <row r="75" spans="2:68" ht="16.5" customHeight="1" x14ac:dyDescent="0.25">
      <c r="D75" s="20"/>
      <c r="E75" s="20"/>
      <c r="I75" s="51">
        <f>SUM(I63:I74)</f>
        <v>0</v>
      </c>
      <c r="J75" s="51">
        <f>SUM(J63:J74)</f>
        <v>0</v>
      </c>
      <c r="L75" s="51">
        <f>SUM(L63:L74)</f>
        <v>0</v>
      </c>
      <c r="M75" s="51">
        <f>SUM(M63:M74)</f>
        <v>0</v>
      </c>
      <c r="O75" s="51">
        <f>SUM(O63:O74)</f>
        <v>0</v>
      </c>
      <c r="P75" s="51">
        <f>SUM(P63:P74)</f>
        <v>0</v>
      </c>
      <c r="X75" s="110"/>
      <c r="Y75" s="164">
        <f t="shared" si="152"/>
        <v>0</v>
      </c>
      <c r="Z75" s="66">
        <f t="shared" si="153"/>
        <v>0</v>
      </c>
      <c r="AA75" s="66">
        <f t="shared" si="154"/>
        <v>0</v>
      </c>
      <c r="AB75" s="67">
        <f t="shared" si="155"/>
        <v>0</v>
      </c>
      <c r="AC75" s="67">
        <f t="shared" si="156"/>
        <v>0</v>
      </c>
      <c r="AD75" s="67">
        <f t="shared" si="147"/>
        <v>0</v>
      </c>
      <c r="AF75" s="162"/>
      <c r="AG75" s="164">
        <f t="shared" si="157"/>
        <v>0</v>
      </c>
      <c r="AH75" s="164">
        <f t="shared" si="148"/>
        <v>0</v>
      </c>
      <c r="AI75" s="164">
        <f t="shared" si="148"/>
        <v>0</v>
      </c>
      <c r="AJ75" s="164">
        <f t="shared" si="148"/>
        <v>0</v>
      </c>
      <c r="AK75" s="164">
        <f t="shared" si="148"/>
        <v>0</v>
      </c>
      <c r="AL75" s="163">
        <f t="shared" si="149"/>
        <v>0</v>
      </c>
      <c r="BA75" s="24" t="s">
        <v>1285</v>
      </c>
      <c r="BB75" s="32">
        <v>1</v>
      </c>
      <c r="BC75" s="32">
        <v>1.6</v>
      </c>
      <c r="BK75" s="24" t="s">
        <v>1286</v>
      </c>
      <c r="BL75" s="32">
        <v>0.6</v>
      </c>
      <c r="BM75" s="32">
        <v>1.8</v>
      </c>
    </row>
    <row r="76" spans="2:68" ht="16.5" customHeight="1" thickBot="1" x14ac:dyDescent="0.3">
      <c r="D76" s="20"/>
      <c r="E76" s="20"/>
      <c r="I76" s="51"/>
      <c r="J76" s="51"/>
      <c r="L76" s="51"/>
      <c r="M76" s="51"/>
      <c r="O76" s="51"/>
      <c r="P76" s="51"/>
      <c r="Y76" s="165">
        <f t="shared" si="152"/>
        <v>0</v>
      </c>
      <c r="Z76" s="68">
        <f t="shared" si="153"/>
        <v>0</v>
      </c>
      <c r="AA76" s="68">
        <f t="shared" si="154"/>
        <v>0</v>
      </c>
      <c r="AB76" s="69">
        <f t="shared" si="155"/>
        <v>0</v>
      </c>
      <c r="AC76" s="69">
        <f t="shared" si="156"/>
        <v>0</v>
      </c>
      <c r="AD76" s="69">
        <f t="shared" si="147"/>
        <v>0</v>
      </c>
      <c r="AG76" s="165">
        <f t="shared" si="157"/>
        <v>0</v>
      </c>
      <c r="AH76" s="165">
        <f t="shared" si="148"/>
        <v>0</v>
      </c>
      <c r="AI76" s="165">
        <f t="shared" si="148"/>
        <v>0</v>
      </c>
      <c r="AJ76" s="165">
        <f t="shared" si="148"/>
        <v>0</v>
      </c>
      <c r="AK76" s="165">
        <f t="shared" si="148"/>
        <v>0</v>
      </c>
      <c r="AL76" s="166">
        <f t="shared" si="149"/>
        <v>0</v>
      </c>
      <c r="BA76" s="24" t="s">
        <v>1286</v>
      </c>
      <c r="BB76" s="32">
        <v>0.6</v>
      </c>
      <c r="BC76" s="32">
        <v>1.8</v>
      </c>
      <c r="BK76" s="24"/>
    </row>
    <row r="77" spans="2:68" ht="16.5" customHeight="1" thickTop="1" x14ac:dyDescent="0.25">
      <c r="B77" s="267">
        <v>3</v>
      </c>
      <c r="C77" s="268" t="s">
        <v>1345</v>
      </c>
      <c r="D77" s="269"/>
      <c r="E77" s="269"/>
      <c r="F77" s="257"/>
      <c r="G77" s="257"/>
      <c r="H77" s="257"/>
      <c r="I77" s="257"/>
      <c r="J77" s="256"/>
      <c r="K77" s="256"/>
      <c r="L77" s="256"/>
      <c r="M77" s="257"/>
      <c r="N77" s="257"/>
      <c r="O77" s="257"/>
      <c r="P77" s="257"/>
      <c r="Q77" s="257"/>
      <c r="R77" s="257"/>
      <c r="S77" s="257"/>
      <c r="T77" s="257"/>
      <c r="U77" s="257"/>
      <c r="V77" s="257"/>
      <c r="W77" s="258"/>
      <c r="X77" s="110" t="s">
        <v>1295</v>
      </c>
      <c r="Y77" s="167">
        <f t="shared" ref="Y77:AD77" si="160">SUM(Y65:Y76)</f>
        <v>0</v>
      </c>
      <c r="Z77" s="167">
        <f t="shared" si="160"/>
        <v>0</v>
      </c>
      <c r="AA77" s="167">
        <f t="shared" si="160"/>
        <v>0</v>
      </c>
      <c r="AB77" s="167">
        <f t="shared" si="160"/>
        <v>0</v>
      </c>
      <c r="AC77" s="168">
        <f t="shared" si="160"/>
        <v>0</v>
      </c>
      <c r="AD77" s="167">
        <f t="shared" si="160"/>
        <v>0</v>
      </c>
      <c r="AF77" s="110" t="s">
        <v>1295</v>
      </c>
      <c r="AG77" s="58">
        <f t="shared" ref="AG77:AL77" si="161">SUM(AG65:AG76)</f>
        <v>0</v>
      </c>
      <c r="AH77" s="58">
        <f t="shared" si="161"/>
        <v>0</v>
      </c>
      <c r="AI77" s="58">
        <f t="shared" si="161"/>
        <v>0</v>
      </c>
      <c r="AJ77" s="58">
        <f t="shared" si="161"/>
        <v>0</v>
      </c>
      <c r="AK77" s="229">
        <f t="shared" si="161"/>
        <v>0</v>
      </c>
      <c r="AL77" s="167">
        <f t="shared" si="161"/>
        <v>0</v>
      </c>
      <c r="BA77" s="24"/>
      <c r="BL77" s="22" t="str">
        <f>BL73</f>
        <v>Fjärrkyla</v>
      </c>
      <c r="BM77" s="22" t="str">
        <f>BM73</f>
        <v>El</v>
      </c>
      <c r="BN77" s="22" t="s">
        <v>1094</v>
      </c>
    </row>
    <row r="78" spans="2:68" ht="16.5" customHeight="1" x14ac:dyDescent="0.25">
      <c r="X78" s="110" t="s">
        <v>1375</v>
      </c>
      <c r="Y78" s="163">
        <f>IF(Y77&gt;0,Y77*(Y57/Y56),0)</f>
        <v>0</v>
      </c>
      <c r="Z78" s="163">
        <f t="shared" ref="Z78:AC78" si="162">IF(Z77&gt;0,Z77*(Z57/Z56),0)</f>
        <v>0</v>
      </c>
      <c r="AA78" s="163">
        <f t="shared" si="162"/>
        <v>0</v>
      </c>
      <c r="AB78" s="163">
        <f t="shared" si="162"/>
        <v>0</v>
      </c>
      <c r="AC78" s="163">
        <f t="shared" si="162"/>
        <v>0</v>
      </c>
      <c r="AD78" s="167">
        <f>SUM(Y78:AC78)</f>
        <v>0</v>
      </c>
      <c r="AE78" s="110"/>
      <c r="AF78" s="110" t="s">
        <v>1375</v>
      </c>
      <c r="AG78" s="163">
        <f>IF(AG77&gt;0,AG77*(Y57/Y56),0)</f>
        <v>0</v>
      </c>
      <c r="AH78" s="163">
        <f t="shared" ref="AH78:AK78" si="163">IF(AH77&gt;0,AH77*(Z57/Z56),0)</f>
        <v>0</v>
      </c>
      <c r="AI78" s="163">
        <f t="shared" si="163"/>
        <v>0</v>
      </c>
      <c r="AJ78" s="163">
        <f t="shared" si="163"/>
        <v>0</v>
      </c>
      <c r="AK78" s="163">
        <f t="shared" si="163"/>
        <v>0</v>
      </c>
      <c r="AL78" s="167">
        <f>SUM(AG78:AK78)</f>
        <v>0</v>
      </c>
      <c r="BB78" s="22" t="str">
        <f>BB74</f>
        <v>Fjärrkyla</v>
      </c>
      <c r="BC78" s="22" t="str">
        <f>BC74</f>
        <v>El</v>
      </c>
      <c r="BD78" s="22" t="s">
        <v>1094</v>
      </c>
      <c r="BL78" s="74">
        <f t="shared" ref="BL78:BL89" si="164">Y82</f>
        <v>0</v>
      </c>
      <c r="BM78" s="74">
        <f t="shared" ref="BM78:BM89" si="165">Z82</f>
        <v>0</v>
      </c>
      <c r="BN78" s="32">
        <f>BL78+BM78</f>
        <v>0</v>
      </c>
    </row>
    <row r="79" spans="2:68" ht="16.5" customHeight="1" x14ac:dyDescent="0.25">
      <c r="F79" s="350" t="s">
        <v>1138</v>
      </c>
      <c r="G79" s="350"/>
      <c r="I79" s="60" t="s">
        <v>1047</v>
      </c>
      <c r="L79" s="60" t="s">
        <v>1048</v>
      </c>
      <c r="O79" s="60" t="s">
        <v>1049</v>
      </c>
      <c r="X79" s="110"/>
      <c r="Y79" s="86"/>
      <c r="Z79" s="162"/>
      <c r="AC79" s="84" t="s">
        <v>1371</v>
      </c>
      <c r="BB79" s="74">
        <f>Y82</f>
        <v>0</v>
      </c>
      <c r="BC79" s="74">
        <f>Z82</f>
        <v>0</v>
      </c>
      <c r="BD79" s="32">
        <f>BB79+BC79</f>
        <v>0</v>
      </c>
      <c r="BL79" s="74">
        <f t="shared" si="164"/>
        <v>0</v>
      </c>
      <c r="BM79" s="74">
        <f t="shared" si="165"/>
        <v>0</v>
      </c>
      <c r="BN79" s="32">
        <f t="shared" ref="BN79:BN90" si="166">BL79+BM79</f>
        <v>0</v>
      </c>
    </row>
    <row r="80" spans="2:68" ht="16.5" customHeight="1" x14ac:dyDescent="0.25">
      <c r="C80" s="33" t="s">
        <v>1050</v>
      </c>
      <c r="D80" s="242">
        <v>0</v>
      </c>
      <c r="F80" s="34" t="s">
        <v>9</v>
      </c>
      <c r="G80" s="249">
        <f>$G$14</f>
        <v>2019</v>
      </c>
      <c r="H80" s="3"/>
      <c r="I80" s="33" t="s">
        <v>1081</v>
      </c>
      <c r="J80" s="242" t="s">
        <v>25</v>
      </c>
      <c r="K80" s="3"/>
      <c r="L80" s="33" t="s">
        <v>1081</v>
      </c>
      <c r="M80" s="242" t="s">
        <v>26</v>
      </c>
      <c r="N80" s="3"/>
      <c r="O80" s="33" t="s">
        <v>1081</v>
      </c>
      <c r="P80" s="242" t="s">
        <v>26</v>
      </c>
      <c r="Q80" s="3"/>
      <c r="R80" s="3"/>
      <c r="S80" s="3"/>
      <c r="T80" s="3"/>
      <c r="U80" s="3"/>
      <c r="V80" s="3"/>
      <c r="X80" s="110"/>
      <c r="Y80" s="86" t="s">
        <v>1105</v>
      </c>
      <c r="Z80" s="110"/>
      <c r="AA80" s="110"/>
      <c r="AC80" s="86" t="s">
        <v>1105</v>
      </c>
      <c r="BB80" s="74">
        <f t="shared" ref="BB80:BC90" si="167">Y83</f>
        <v>0</v>
      </c>
      <c r="BC80" s="74">
        <f t="shared" si="167"/>
        <v>0</v>
      </c>
      <c r="BD80" s="32">
        <f t="shared" ref="BD80:BD91" si="168">BB80+BC80</f>
        <v>0</v>
      </c>
      <c r="BL80" s="74">
        <f t="shared" si="164"/>
        <v>0</v>
      </c>
      <c r="BM80" s="74">
        <f t="shared" si="165"/>
        <v>0</v>
      </c>
      <c r="BN80" s="32">
        <f t="shared" si="166"/>
        <v>0</v>
      </c>
    </row>
    <row r="81" spans="3:66" ht="16.5" customHeight="1" x14ac:dyDescent="0.25">
      <c r="C81" s="152" t="s">
        <v>1354</v>
      </c>
      <c r="F81" s="34" t="s">
        <v>19</v>
      </c>
      <c r="G81" s="249" t="str">
        <f>$G$15</f>
        <v>jan</v>
      </c>
      <c r="H81" s="3"/>
      <c r="I81" s="33" t="s">
        <v>13</v>
      </c>
      <c r="J81" s="246">
        <v>1</v>
      </c>
      <c r="K81" s="2"/>
      <c r="L81" s="33" t="s">
        <v>13</v>
      </c>
      <c r="M81" s="246">
        <v>2.5</v>
      </c>
      <c r="N81" s="2"/>
      <c r="O81" s="33" t="s">
        <v>13</v>
      </c>
      <c r="P81" s="246">
        <v>2.5</v>
      </c>
      <c r="Q81" s="2"/>
      <c r="R81" s="2"/>
      <c r="S81" s="2"/>
      <c r="T81" s="2"/>
      <c r="U81" s="2"/>
      <c r="V81" s="2"/>
      <c r="Y81" s="85" t="s">
        <v>25</v>
      </c>
      <c r="Z81" s="85" t="s">
        <v>26</v>
      </c>
      <c r="AA81" s="162" t="s">
        <v>1094</v>
      </c>
      <c r="AC81" s="162" t="s">
        <v>25</v>
      </c>
      <c r="AD81" s="162" t="s">
        <v>26</v>
      </c>
      <c r="AE81" s="162" t="s">
        <v>1248</v>
      </c>
      <c r="AF81" s="162" t="s">
        <v>1094</v>
      </c>
      <c r="AG81" s="84" t="s">
        <v>1368</v>
      </c>
      <c r="BB81" s="74">
        <f t="shared" si="167"/>
        <v>0</v>
      </c>
      <c r="BC81" s="74">
        <f t="shared" si="167"/>
        <v>0</v>
      </c>
      <c r="BD81" s="32">
        <f t="shared" si="168"/>
        <v>0</v>
      </c>
      <c r="BL81" s="74">
        <f t="shared" si="164"/>
        <v>0</v>
      </c>
      <c r="BM81" s="74">
        <f t="shared" si="165"/>
        <v>0</v>
      </c>
      <c r="BN81" s="32">
        <f t="shared" si="166"/>
        <v>0</v>
      </c>
    </row>
    <row r="82" spans="3:66" ht="16.5" customHeight="1" x14ac:dyDescent="0.25">
      <c r="C82" s="351"/>
      <c r="D82" s="352"/>
      <c r="F82" s="60"/>
      <c r="G82" s="3"/>
      <c r="H82" s="3"/>
      <c r="I82" s="34" t="s">
        <v>1136</v>
      </c>
      <c r="J82" s="242" t="s">
        <v>1075</v>
      </c>
      <c r="K82" s="2"/>
      <c r="L82" s="34" t="s">
        <v>1136</v>
      </c>
      <c r="M82" s="242" t="s">
        <v>1075</v>
      </c>
      <c r="N82" s="2"/>
      <c r="O82" s="34" t="s">
        <v>1136</v>
      </c>
      <c r="P82" s="242" t="s">
        <v>1046</v>
      </c>
      <c r="Q82" s="3"/>
      <c r="R82" s="3"/>
      <c r="S82" s="3"/>
      <c r="T82" s="3"/>
      <c r="U82" s="3"/>
      <c r="V82" s="3"/>
      <c r="Y82" s="171">
        <f>IF($J$80=$Y$81,$I$85,0)+IF($M$80=$Y$81,$L$85,0)+IF($P$80=$Y$81,$O$85,0)</f>
        <v>0</v>
      </c>
      <c r="Z82" s="171">
        <f>IF($J$80=$Z$81,$I$85,0)+IF($M$80=$Z$81,$L$85,0)+IF($P$80=$Z$81,$O$85,0)</f>
        <v>0</v>
      </c>
      <c r="AA82" s="35">
        <f>Y82+Z82</f>
        <v>0</v>
      </c>
      <c r="AC82" s="171">
        <f>Y82</f>
        <v>0</v>
      </c>
      <c r="AD82" s="180">
        <f>Z82</f>
        <v>0</v>
      </c>
      <c r="AE82" s="163">
        <f>AD82-AB130</f>
        <v>0</v>
      </c>
      <c r="AF82" s="132">
        <f>AC82+AE82</f>
        <v>0</v>
      </c>
      <c r="AG82" s="237" t="str">
        <f>IF(AE82&lt;0,"Fel i indata","")</f>
        <v/>
      </c>
      <c r="BB82" s="74">
        <f t="shared" si="167"/>
        <v>0</v>
      </c>
      <c r="BC82" s="74">
        <f t="shared" si="167"/>
        <v>0</v>
      </c>
      <c r="BD82" s="32">
        <f t="shared" si="168"/>
        <v>0</v>
      </c>
      <c r="BL82" s="74">
        <f t="shared" si="164"/>
        <v>0</v>
      </c>
      <c r="BM82" s="74">
        <f t="shared" si="165"/>
        <v>0</v>
      </c>
      <c r="BN82" s="32">
        <f t="shared" si="166"/>
        <v>0</v>
      </c>
    </row>
    <row r="83" spans="3:66" ht="16.5" customHeight="1" x14ac:dyDescent="0.25">
      <c r="C83" s="353"/>
      <c r="D83" s="354"/>
      <c r="G83" s="3"/>
      <c r="H83" s="3"/>
      <c r="I83" s="64"/>
      <c r="J83" s="40" t="s">
        <v>1132</v>
      </c>
      <c r="K83" s="40"/>
      <c r="L83" s="64"/>
      <c r="M83" s="40" t="s">
        <v>1132</v>
      </c>
      <c r="N83" s="40"/>
      <c r="O83" s="40"/>
      <c r="P83" s="40" t="s">
        <v>1132</v>
      </c>
      <c r="Q83" s="40"/>
      <c r="R83" s="40"/>
      <c r="S83" s="40"/>
      <c r="T83" s="40"/>
      <c r="U83" s="40"/>
      <c r="V83" s="40"/>
      <c r="Y83" s="171">
        <f t="shared" ref="Y83:Y93" si="169">IF($J$80=$Y$81,I86,0)+IF($M$80=$Y$81,L86,0)+IF($P$80=$Y$81,O86,0)</f>
        <v>0</v>
      </c>
      <c r="Z83" s="171">
        <f t="shared" ref="Z83:Z93" si="170">IF($J$80=$Z$81,I86,0)+IF($M$80=$Z$81,L86,0)+IF($P$80=$Z$81,O86,0)</f>
        <v>0</v>
      </c>
      <c r="AA83" s="35">
        <f t="shared" ref="AA83:AA94" si="171">Y83+Z83</f>
        <v>0</v>
      </c>
      <c r="AC83" s="171">
        <f t="shared" ref="AC83:AD93" si="172">Y83</f>
        <v>0</v>
      </c>
      <c r="AD83" s="180">
        <f t="shared" si="172"/>
        <v>0</v>
      </c>
      <c r="AE83" s="163">
        <f t="shared" ref="AE83:AE93" si="173">AD83-AB131</f>
        <v>0</v>
      </c>
      <c r="AF83" s="132">
        <f t="shared" ref="AF83:AF93" si="174">AC83+AE83</f>
        <v>0</v>
      </c>
      <c r="AG83" s="237" t="str">
        <f t="shared" ref="AG83:AG93" si="175">IF(AE83&lt;0,"Fel i indata","")</f>
        <v/>
      </c>
      <c r="BB83" s="74">
        <f t="shared" si="167"/>
        <v>0</v>
      </c>
      <c r="BC83" s="74">
        <f t="shared" si="167"/>
        <v>0</v>
      </c>
      <c r="BD83" s="32">
        <f t="shared" si="168"/>
        <v>0</v>
      </c>
      <c r="BL83" s="74">
        <f t="shared" si="164"/>
        <v>0</v>
      </c>
      <c r="BM83" s="74">
        <f t="shared" si="165"/>
        <v>0</v>
      </c>
      <c r="BN83" s="32">
        <f t="shared" si="166"/>
        <v>0</v>
      </c>
    </row>
    <row r="84" spans="3:66" ht="16.5" customHeight="1" x14ac:dyDescent="0.25">
      <c r="C84" s="353"/>
      <c r="D84" s="354"/>
      <c r="F84" s="262" t="s">
        <v>1044</v>
      </c>
      <c r="G84" s="262" t="s">
        <v>1045</v>
      </c>
      <c r="H84" s="3"/>
      <c r="I84" s="23" t="s">
        <v>1075</v>
      </c>
      <c r="J84" s="262" t="str">
        <f>J82</f>
        <v>Levererad energi</v>
      </c>
      <c r="K84" s="3"/>
      <c r="L84" s="23" t="s">
        <v>1075</v>
      </c>
      <c r="M84" s="262" t="str">
        <f>M82</f>
        <v>Levererad energi</v>
      </c>
      <c r="N84" s="3"/>
      <c r="O84" s="23" t="s">
        <v>1075</v>
      </c>
      <c r="P84" s="262" t="str">
        <f>P82</f>
        <v>Producerad energi</v>
      </c>
      <c r="Q84" s="3"/>
      <c r="R84" s="3"/>
      <c r="S84" s="3"/>
      <c r="T84" s="3"/>
      <c r="U84" s="3"/>
      <c r="V84" s="3"/>
      <c r="Y84" s="171">
        <f t="shared" si="169"/>
        <v>0</v>
      </c>
      <c r="Z84" s="171">
        <f t="shared" si="170"/>
        <v>0</v>
      </c>
      <c r="AA84" s="35">
        <f t="shared" si="171"/>
        <v>0</v>
      </c>
      <c r="AC84" s="171">
        <f t="shared" si="172"/>
        <v>0</v>
      </c>
      <c r="AD84" s="180">
        <f t="shared" si="172"/>
        <v>0</v>
      </c>
      <c r="AE84" s="163">
        <f t="shared" si="173"/>
        <v>0</v>
      </c>
      <c r="AF84" s="132">
        <f t="shared" si="174"/>
        <v>0</v>
      </c>
      <c r="AG84" s="237" t="str">
        <f t="shared" si="175"/>
        <v/>
      </c>
      <c r="BB84" s="74">
        <f t="shared" si="167"/>
        <v>0</v>
      </c>
      <c r="BC84" s="74">
        <f t="shared" si="167"/>
        <v>0</v>
      </c>
      <c r="BD84" s="32">
        <f t="shared" si="168"/>
        <v>0</v>
      </c>
      <c r="BL84" s="74">
        <f t="shared" si="164"/>
        <v>0</v>
      </c>
      <c r="BM84" s="74">
        <f t="shared" si="165"/>
        <v>0</v>
      </c>
      <c r="BN84" s="32">
        <f t="shared" si="166"/>
        <v>0</v>
      </c>
    </row>
    <row r="85" spans="3:66" ht="16.5" customHeight="1" x14ac:dyDescent="0.25">
      <c r="C85" s="355"/>
      <c r="D85" s="356"/>
      <c r="E85" s="20"/>
      <c r="F85" s="249">
        <f>G80</f>
        <v>2019</v>
      </c>
      <c r="G85" s="249" t="str">
        <f t="shared" ref="G85:G96" ca="1" si="176">OFFSET($EI$2,$EI$40+ROW(F85)-ROW($F$85),0)</f>
        <v>jan</v>
      </c>
      <c r="H85" s="3"/>
      <c r="I85" s="73">
        <f t="shared" ref="I85:I96" si="177">IF($D$80&gt;0,IF($I$84=$J$84,J85,J85/$J$81),0)</f>
        <v>0</v>
      </c>
      <c r="J85" s="246"/>
      <c r="K85" s="2"/>
      <c r="L85" s="73">
        <f t="shared" ref="L85:L96" si="178">IF($D$80&gt;1,IF($L$84=$M$84,M85,M85/$M$81),0)</f>
        <v>0</v>
      </c>
      <c r="M85" s="246"/>
      <c r="N85" s="2"/>
      <c r="O85" s="73">
        <f t="shared" ref="O85:O96" si="179">IF($D$80&gt;2,IF($O$84=$P$84,P85,P85/$P$81),0)</f>
        <v>0</v>
      </c>
      <c r="P85" s="246"/>
      <c r="Q85" s="2"/>
      <c r="R85" s="2"/>
      <c r="S85" s="2"/>
      <c r="T85" s="2"/>
      <c r="U85" s="2"/>
      <c r="V85" s="2"/>
      <c r="Y85" s="171">
        <f t="shared" si="169"/>
        <v>0</v>
      </c>
      <c r="Z85" s="171">
        <f t="shared" si="170"/>
        <v>0</v>
      </c>
      <c r="AA85" s="35">
        <f t="shared" si="171"/>
        <v>0</v>
      </c>
      <c r="AC85" s="171">
        <f t="shared" si="172"/>
        <v>0</v>
      </c>
      <c r="AD85" s="180">
        <f t="shared" si="172"/>
        <v>0</v>
      </c>
      <c r="AE85" s="163">
        <f t="shared" si="173"/>
        <v>0</v>
      </c>
      <c r="AF85" s="132">
        <f t="shared" si="174"/>
        <v>0</v>
      </c>
      <c r="AG85" s="237" t="str">
        <f t="shared" si="175"/>
        <v/>
      </c>
      <c r="BB85" s="74">
        <f t="shared" si="167"/>
        <v>0</v>
      </c>
      <c r="BC85" s="74">
        <f t="shared" si="167"/>
        <v>0</v>
      </c>
      <c r="BD85" s="32">
        <f t="shared" si="168"/>
        <v>0</v>
      </c>
      <c r="BL85" s="74">
        <f t="shared" si="164"/>
        <v>0</v>
      </c>
      <c r="BM85" s="74">
        <f t="shared" si="165"/>
        <v>0</v>
      </c>
      <c r="BN85" s="32">
        <f t="shared" si="166"/>
        <v>0</v>
      </c>
    </row>
    <row r="86" spans="3:66" ht="16.5" customHeight="1" x14ac:dyDescent="0.25">
      <c r="F86" s="249">
        <f ca="1">IF(G86="jan",F85+1,F85)</f>
        <v>2019</v>
      </c>
      <c r="G86" s="249" t="str">
        <f t="shared" ca="1" si="176"/>
        <v>feb</v>
      </c>
      <c r="H86" s="3"/>
      <c r="I86" s="73">
        <f t="shared" si="177"/>
        <v>0</v>
      </c>
      <c r="J86" s="246"/>
      <c r="K86" s="2"/>
      <c r="L86" s="73">
        <f t="shared" si="178"/>
        <v>0</v>
      </c>
      <c r="M86" s="246"/>
      <c r="N86" s="2"/>
      <c r="O86" s="73">
        <f t="shared" si="179"/>
        <v>0</v>
      </c>
      <c r="P86" s="246"/>
      <c r="Q86" s="2"/>
      <c r="R86" s="2"/>
      <c r="S86" s="2"/>
      <c r="T86" s="2"/>
      <c r="U86" s="2"/>
      <c r="V86" s="2"/>
      <c r="Y86" s="171">
        <f t="shared" si="169"/>
        <v>0</v>
      </c>
      <c r="Z86" s="171">
        <f t="shared" si="170"/>
        <v>0</v>
      </c>
      <c r="AA86" s="35">
        <f t="shared" si="171"/>
        <v>0</v>
      </c>
      <c r="AC86" s="171">
        <f t="shared" si="172"/>
        <v>0</v>
      </c>
      <c r="AD86" s="180">
        <f t="shared" si="172"/>
        <v>0</v>
      </c>
      <c r="AE86" s="163">
        <f t="shared" si="173"/>
        <v>0</v>
      </c>
      <c r="AF86" s="132">
        <f t="shared" si="174"/>
        <v>0</v>
      </c>
      <c r="AG86" s="237" t="str">
        <f t="shared" si="175"/>
        <v/>
      </c>
      <c r="BB86" s="74">
        <f t="shared" si="167"/>
        <v>0</v>
      </c>
      <c r="BC86" s="74">
        <f t="shared" si="167"/>
        <v>0</v>
      </c>
      <c r="BD86" s="32">
        <f t="shared" si="168"/>
        <v>0</v>
      </c>
      <c r="BL86" s="74">
        <f t="shared" si="164"/>
        <v>0</v>
      </c>
      <c r="BM86" s="74">
        <f t="shared" si="165"/>
        <v>0</v>
      </c>
      <c r="BN86" s="32">
        <f t="shared" si="166"/>
        <v>0</v>
      </c>
    </row>
    <row r="87" spans="3:66" ht="16.5" customHeight="1" x14ac:dyDescent="0.25">
      <c r="F87" s="249">
        <f t="shared" ref="F87:F96" ca="1" si="180">IF(G87="jan",F86+1,F86)</f>
        <v>2019</v>
      </c>
      <c r="G87" s="249" t="str">
        <f t="shared" ca="1" si="176"/>
        <v>mars</v>
      </c>
      <c r="H87" s="3"/>
      <c r="I87" s="73">
        <f t="shared" si="177"/>
        <v>0</v>
      </c>
      <c r="J87" s="246"/>
      <c r="K87" s="2"/>
      <c r="L87" s="73">
        <f t="shared" si="178"/>
        <v>0</v>
      </c>
      <c r="M87" s="246"/>
      <c r="N87" s="2"/>
      <c r="O87" s="73">
        <f t="shared" si="179"/>
        <v>0</v>
      </c>
      <c r="P87" s="246"/>
      <c r="Q87" s="2"/>
      <c r="R87" s="2"/>
      <c r="S87" s="2"/>
      <c r="T87" s="2"/>
      <c r="U87" s="2"/>
      <c r="V87" s="2"/>
      <c r="Y87" s="171">
        <f t="shared" si="169"/>
        <v>0</v>
      </c>
      <c r="Z87" s="171">
        <f t="shared" si="170"/>
        <v>0</v>
      </c>
      <c r="AA87" s="35">
        <f t="shared" si="171"/>
        <v>0</v>
      </c>
      <c r="AC87" s="171">
        <f t="shared" si="172"/>
        <v>0</v>
      </c>
      <c r="AD87" s="180">
        <f t="shared" si="172"/>
        <v>0</v>
      </c>
      <c r="AE87" s="163">
        <f t="shared" si="173"/>
        <v>0</v>
      </c>
      <c r="AF87" s="132">
        <f t="shared" si="174"/>
        <v>0</v>
      </c>
      <c r="AG87" s="237" t="str">
        <f t="shared" si="175"/>
        <v/>
      </c>
      <c r="BB87" s="74">
        <f t="shared" si="167"/>
        <v>0</v>
      </c>
      <c r="BC87" s="74">
        <f t="shared" si="167"/>
        <v>0</v>
      </c>
      <c r="BD87" s="32">
        <f t="shared" si="168"/>
        <v>0</v>
      </c>
      <c r="BL87" s="74">
        <f t="shared" si="164"/>
        <v>0</v>
      </c>
      <c r="BM87" s="74">
        <f t="shared" si="165"/>
        <v>0</v>
      </c>
      <c r="BN87" s="32">
        <f t="shared" si="166"/>
        <v>0</v>
      </c>
    </row>
    <row r="88" spans="3:66" ht="16.5" customHeight="1" x14ac:dyDescent="0.25">
      <c r="F88" s="249">
        <f t="shared" ca="1" si="180"/>
        <v>2019</v>
      </c>
      <c r="G88" s="249" t="str">
        <f t="shared" ca="1" si="176"/>
        <v>apr</v>
      </c>
      <c r="H88" s="3"/>
      <c r="I88" s="73">
        <f t="shared" si="177"/>
        <v>0</v>
      </c>
      <c r="J88" s="246"/>
      <c r="K88" s="2"/>
      <c r="L88" s="73">
        <f t="shared" si="178"/>
        <v>0</v>
      </c>
      <c r="M88" s="246"/>
      <c r="N88" s="2"/>
      <c r="O88" s="73">
        <f t="shared" si="179"/>
        <v>0</v>
      </c>
      <c r="P88" s="246"/>
      <c r="Q88" s="2"/>
      <c r="R88" s="2"/>
      <c r="S88" s="2"/>
      <c r="T88" s="2"/>
      <c r="U88" s="2"/>
      <c r="V88" s="2"/>
      <c r="Y88" s="171">
        <f t="shared" si="169"/>
        <v>0</v>
      </c>
      <c r="Z88" s="171">
        <f t="shared" si="170"/>
        <v>0</v>
      </c>
      <c r="AA88" s="35">
        <f t="shared" si="171"/>
        <v>0</v>
      </c>
      <c r="AC88" s="171">
        <f t="shared" si="172"/>
        <v>0</v>
      </c>
      <c r="AD88" s="180">
        <f t="shared" si="172"/>
        <v>0</v>
      </c>
      <c r="AE88" s="163">
        <f t="shared" si="173"/>
        <v>0</v>
      </c>
      <c r="AF88" s="132">
        <f t="shared" si="174"/>
        <v>0</v>
      </c>
      <c r="AG88" s="237" t="str">
        <f t="shared" si="175"/>
        <v/>
      </c>
      <c r="BB88" s="74">
        <f t="shared" si="167"/>
        <v>0</v>
      </c>
      <c r="BC88" s="74">
        <f t="shared" si="167"/>
        <v>0</v>
      </c>
      <c r="BD88" s="32">
        <f t="shared" si="168"/>
        <v>0</v>
      </c>
      <c r="BL88" s="74">
        <f t="shared" si="164"/>
        <v>0</v>
      </c>
      <c r="BM88" s="74">
        <f t="shared" si="165"/>
        <v>0</v>
      </c>
      <c r="BN88" s="32">
        <f t="shared" si="166"/>
        <v>0</v>
      </c>
    </row>
    <row r="89" spans="3:66" ht="16.5" customHeight="1" thickBot="1" x14ac:dyDescent="0.3">
      <c r="F89" s="249">
        <f t="shared" ca="1" si="180"/>
        <v>2019</v>
      </c>
      <c r="G89" s="249" t="str">
        <f t="shared" ca="1" si="176"/>
        <v>maj</v>
      </c>
      <c r="H89" s="3"/>
      <c r="I89" s="73">
        <f t="shared" si="177"/>
        <v>0</v>
      </c>
      <c r="J89" s="246"/>
      <c r="K89" s="2"/>
      <c r="L89" s="73">
        <f t="shared" si="178"/>
        <v>0</v>
      </c>
      <c r="M89" s="246"/>
      <c r="N89" s="2"/>
      <c r="O89" s="73">
        <f t="shared" si="179"/>
        <v>0</v>
      </c>
      <c r="P89" s="246"/>
      <c r="Q89" s="2"/>
      <c r="R89" s="2"/>
      <c r="S89" s="2"/>
      <c r="T89" s="2"/>
      <c r="U89" s="2"/>
      <c r="V89" s="2"/>
      <c r="Y89" s="171">
        <f t="shared" si="169"/>
        <v>0</v>
      </c>
      <c r="Z89" s="171">
        <f t="shared" si="170"/>
        <v>0</v>
      </c>
      <c r="AA89" s="35">
        <f t="shared" si="171"/>
        <v>0</v>
      </c>
      <c r="AC89" s="171">
        <f t="shared" si="172"/>
        <v>0</v>
      </c>
      <c r="AD89" s="180">
        <f t="shared" si="172"/>
        <v>0</v>
      </c>
      <c r="AE89" s="163">
        <f t="shared" si="173"/>
        <v>0</v>
      </c>
      <c r="AF89" s="132">
        <f t="shared" si="174"/>
        <v>0</v>
      </c>
      <c r="AG89" s="237" t="str">
        <f t="shared" si="175"/>
        <v/>
      </c>
      <c r="BB89" s="74">
        <f t="shared" si="167"/>
        <v>0</v>
      </c>
      <c r="BC89" s="74">
        <f t="shared" si="167"/>
        <v>0</v>
      </c>
      <c r="BD89" s="32">
        <f t="shared" si="168"/>
        <v>0</v>
      </c>
      <c r="BL89" s="75">
        <f t="shared" si="164"/>
        <v>0</v>
      </c>
      <c r="BM89" s="75">
        <f t="shared" si="165"/>
        <v>0</v>
      </c>
      <c r="BN89" s="76">
        <f t="shared" si="166"/>
        <v>0</v>
      </c>
    </row>
    <row r="90" spans="3:66" ht="16.5" customHeight="1" thickTop="1" thickBot="1" x14ac:dyDescent="0.3">
      <c r="F90" s="249">
        <f t="shared" ca="1" si="180"/>
        <v>2019</v>
      </c>
      <c r="G90" s="249" t="str">
        <f t="shared" ca="1" si="176"/>
        <v xml:space="preserve">jun </v>
      </c>
      <c r="H90" s="3"/>
      <c r="I90" s="73">
        <f t="shared" si="177"/>
        <v>0</v>
      </c>
      <c r="J90" s="246"/>
      <c r="K90" s="2"/>
      <c r="L90" s="73">
        <f t="shared" si="178"/>
        <v>0</v>
      </c>
      <c r="M90" s="246"/>
      <c r="N90" s="2"/>
      <c r="O90" s="73">
        <f t="shared" si="179"/>
        <v>0</v>
      </c>
      <c r="P90" s="246"/>
      <c r="Y90" s="171">
        <f t="shared" si="169"/>
        <v>0</v>
      </c>
      <c r="Z90" s="171">
        <f t="shared" si="170"/>
        <v>0</v>
      </c>
      <c r="AA90" s="35">
        <f t="shared" si="171"/>
        <v>0</v>
      </c>
      <c r="AC90" s="171">
        <f t="shared" si="172"/>
        <v>0</v>
      </c>
      <c r="AD90" s="180">
        <f t="shared" si="172"/>
        <v>0</v>
      </c>
      <c r="AE90" s="163">
        <f t="shared" si="173"/>
        <v>0</v>
      </c>
      <c r="AF90" s="132">
        <f t="shared" si="174"/>
        <v>0</v>
      </c>
      <c r="AG90" s="237" t="str">
        <f t="shared" si="175"/>
        <v/>
      </c>
      <c r="BB90" s="75">
        <f t="shared" si="167"/>
        <v>0</v>
      </c>
      <c r="BC90" s="75">
        <f t="shared" si="167"/>
        <v>0</v>
      </c>
      <c r="BD90" s="76">
        <f t="shared" si="168"/>
        <v>0</v>
      </c>
      <c r="BK90" s="24" t="s">
        <v>1098</v>
      </c>
      <c r="BL90" s="77">
        <f>SUM(BL78:BL89)</f>
        <v>0</v>
      </c>
      <c r="BM90" s="77">
        <f>SUM(BM78:BM89)</f>
        <v>0</v>
      </c>
      <c r="BN90" s="77">
        <f t="shared" si="166"/>
        <v>0</v>
      </c>
    </row>
    <row r="91" spans="3:66" ht="16.5" customHeight="1" thickTop="1" thickBot="1" x14ac:dyDescent="0.3">
      <c r="F91" s="249">
        <f t="shared" ca="1" si="180"/>
        <v>2019</v>
      </c>
      <c r="G91" s="249" t="str">
        <f t="shared" ca="1" si="176"/>
        <v>jul</v>
      </c>
      <c r="H91" s="3"/>
      <c r="I91" s="73">
        <f t="shared" si="177"/>
        <v>0</v>
      </c>
      <c r="J91" s="246"/>
      <c r="K91" s="2"/>
      <c r="L91" s="73">
        <f t="shared" si="178"/>
        <v>0</v>
      </c>
      <c r="M91" s="246"/>
      <c r="N91" s="2"/>
      <c r="O91" s="73">
        <f t="shared" si="179"/>
        <v>0</v>
      </c>
      <c r="P91" s="246"/>
      <c r="Y91" s="171">
        <f t="shared" si="169"/>
        <v>0</v>
      </c>
      <c r="Z91" s="171">
        <f t="shared" si="170"/>
        <v>0</v>
      </c>
      <c r="AA91" s="35">
        <f t="shared" si="171"/>
        <v>0</v>
      </c>
      <c r="AC91" s="171">
        <f t="shared" si="172"/>
        <v>0</v>
      </c>
      <c r="AD91" s="180">
        <f t="shared" si="172"/>
        <v>0</v>
      </c>
      <c r="AE91" s="163">
        <f t="shared" si="173"/>
        <v>0</v>
      </c>
      <c r="AF91" s="132">
        <f t="shared" si="174"/>
        <v>0</v>
      </c>
      <c r="AG91" s="237" t="str">
        <f t="shared" si="175"/>
        <v/>
      </c>
      <c r="BA91" s="24" t="s">
        <v>1098</v>
      </c>
      <c r="BB91" s="77">
        <f>SUM(BB79:BB90)</f>
        <v>0</v>
      </c>
      <c r="BC91" s="77">
        <f>SUM(BC79:BC90)</f>
        <v>0</v>
      </c>
      <c r="BD91" s="77">
        <f t="shared" si="168"/>
        <v>0</v>
      </c>
      <c r="BK91" s="186" t="s">
        <v>1394</v>
      </c>
      <c r="BL91" s="30">
        <f>BL90</f>
        <v>0</v>
      </c>
      <c r="BM91" s="61">
        <f>BM90</f>
        <v>0</v>
      </c>
      <c r="BN91" s="170">
        <f>BL91+BM91</f>
        <v>0</v>
      </c>
    </row>
    <row r="92" spans="3:66" ht="16.5" customHeight="1" thickBot="1" x14ac:dyDescent="0.3">
      <c r="F92" s="249">
        <f t="shared" ca="1" si="180"/>
        <v>2019</v>
      </c>
      <c r="G92" s="249" t="str">
        <f t="shared" ca="1" si="176"/>
        <v>aug</v>
      </c>
      <c r="H92" s="3"/>
      <c r="I92" s="73">
        <f t="shared" si="177"/>
        <v>0</v>
      </c>
      <c r="J92" s="246"/>
      <c r="K92" s="2"/>
      <c r="L92" s="73">
        <f t="shared" si="178"/>
        <v>0</v>
      </c>
      <c r="M92" s="246"/>
      <c r="N92" s="2"/>
      <c r="O92" s="73">
        <f t="shared" si="179"/>
        <v>0</v>
      </c>
      <c r="P92" s="246"/>
      <c r="Y92" s="171">
        <f t="shared" si="169"/>
        <v>0</v>
      </c>
      <c r="Z92" s="171">
        <f t="shared" si="170"/>
        <v>0</v>
      </c>
      <c r="AA92" s="35">
        <f t="shared" si="171"/>
        <v>0</v>
      </c>
      <c r="AC92" s="171">
        <f t="shared" si="172"/>
        <v>0</v>
      </c>
      <c r="AD92" s="180">
        <f t="shared" si="172"/>
        <v>0</v>
      </c>
      <c r="AE92" s="163">
        <f t="shared" si="173"/>
        <v>0</v>
      </c>
      <c r="AF92" s="132">
        <f t="shared" si="174"/>
        <v>0</v>
      </c>
      <c r="AG92" s="237" t="str">
        <f t="shared" si="175"/>
        <v/>
      </c>
      <c r="BA92" s="24" t="s">
        <v>1201</v>
      </c>
      <c r="BB92" s="30">
        <f>BB91</f>
        <v>0</v>
      </c>
      <c r="BC92" s="61">
        <f>BC91-$AB$142</f>
        <v>0</v>
      </c>
      <c r="BD92" s="170">
        <f>BB92+BC92</f>
        <v>0</v>
      </c>
      <c r="BK92" s="24" t="s">
        <v>1293</v>
      </c>
      <c r="BL92" s="30">
        <f>BL91*BL74</f>
        <v>0</v>
      </c>
      <c r="BM92" s="30">
        <f>IF('Indata byggnad och BBR krav'!$C$27="&lt; 10 W/m2 Atemp",BM91*1.875*$BM$74,BM91*$BM$74)</f>
        <v>0</v>
      </c>
      <c r="BN92" s="63">
        <f>BL92+BM92</f>
        <v>0</v>
      </c>
    </row>
    <row r="93" spans="3:66" ht="16.5" customHeight="1" thickBot="1" x14ac:dyDescent="0.3">
      <c r="F93" s="249">
        <f t="shared" ca="1" si="180"/>
        <v>2019</v>
      </c>
      <c r="G93" s="249" t="str">
        <f t="shared" ca="1" si="176"/>
        <v>sept</v>
      </c>
      <c r="H93" s="3"/>
      <c r="I93" s="73">
        <f t="shared" si="177"/>
        <v>0</v>
      </c>
      <c r="J93" s="246"/>
      <c r="K93" s="2"/>
      <c r="L93" s="73">
        <f t="shared" si="178"/>
        <v>0</v>
      </c>
      <c r="M93" s="246"/>
      <c r="N93" s="2"/>
      <c r="O93" s="73">
        <f t="shared" si="179"/>
        <v>0</v>
      </c>
      <c r="P93" s="246"/>
      <c r="Y93" s="172">
        <f t="shared" si="169"/>
        <v>0</v>
      </c>
      <c r="Z93" s="172">
        <f t="shared" si="170"/>
        <v>0</v>
      </c>
      <c r="AA93" s="78">
        <f t="shared" si="171"/>
        <v>0</v>
      </c>
      <c r="AC93" s="172">
        <f t="shared" si="172"/>
        <v>0</v>
      </c>
      <c r="AD93" s="181">
        <f t="shared" si="172"/>
        <v>0</v>
      </c>
      <c r="AE93" s="166">
        <f t="shared" si="173"/>
        <v>0</v>
      </c>
      <c r="AF93" s="133">
        <f t="shared" si="174"/>
        <v>0</v>
      </c>
      <c r="AG93" s="237" t="str">
        <f t="shared" si="175"/>
        <v/>
      </c>
      <c r="BA93" s="24" t="s">
        <v>1293</v>
      </c>
      <c r="BB93" s="30">
        <f>BB92*BB75</f>
        <v>0</v>
      </c>
      <c r="BC93" s="30">
        <f>IF('Indata byggnad och BBR krav'!$C$27="&lt; 10 W/m2 Atemp",BC92*1.875*$BC$75,BC92*$BC$75)</f>
        <v>0</v>
      </c>
      <c r="BD93" s="63">
        <f>BB93+BC93</f>
        <v>0</v>
      </c>
      <c r="BK93" s="24" t="s">
        <v>1294</v>
      </c>
      <c r="BL93" s="30">
        <f>BL91*BL75</f>
        <v>0</v>
      </c>
      <c r="BM93" s="30">
        <f>BM91*BM75</f>
        <v>0</v>
      </c>
      <c r="BN93" s="63">
        <f>BL93+BM93</f>
        <v>0</v>
      </c>
    </row>
    <row r="94" spans="3:66" ht="16.5" customHeight="1" thickTop="1" thickBot="1" x14ac:dyDescent="0.3">
      <c r="F94" s="249">
        <f t="shared" ca="1" si="180"/>
        <v>2019</v>
      </c>
      <c r="G94" s="249" t="str">
        <f t="shared" ca="1" si="176"/>
        <v>okt</v>
      </c>
      <c r="H94" s="3"/>
      <c r="I94" s="73">
        <f t="shared" si="177"/>
        <v>0</v>
      </c>
      <c r="J94" s="246"/>
      <c r="K94" s="2"/>
      <c r="L94" s="73">
        <f t="shared" si="178"/>
        <v>0</v>
      </c>
      <c r="M94" s="246"/>
      <c r="N94" s="2"/>
      <c r="O94" s="73">
        <f t="shared" si="179"/>
        <v>0</v>
      </c>
      <c r="P94" s="246"/>
      <c r="X94" s="110" t="s">
        <v>1295</v>
      </c>
      <c r="Y94" s="79">
        <f>SUM(Y82:Y93)</f>
        <v>0</v>
      </c>
      <c r="Z94" s="79">
        <f>SUM(Z82:Z93)</f>
        <v>0</v>
      </c>
      <c r="AA94" s="79">
        <f t="shared" si="171"/>
        <v>0</v>
      </c>
      <c r="AC94" s="167">
        <f>SUM(AC82:AC93)</f>
        <v>0</v>
      </c>
      <c r="AD94" s="168">
        <f>SUM(AD82:AD93)</f>
        <v>0</v>
      </c>
      <c r="AE94" s="167">
        <f>SUM(AE82:AE93)</f>
        <v>0</v>
      </c>
      <c r="AF94" s="179">
        <f>SUM(AF82:AF93)</f>
        <v>0</v>
      </c>
      <c r="BA94" s="24" t="s">
        <v>1294</v>
      </c>
      <c r="BB94" s="30">
        <f>BB92*BB76</f>
        <v>0</v>
      </c>
      <c r="BC94" s="30">
        <f>BC92*BC76</f>
        <v>0</v>
      </c>
      <c r="BD94" s="63">
        <f>BB94+BC94</f>
        <v>0</v>
      </c>
    </row>
    <row r="95" spans="3:66" ht="16.5" customHeight="1" thickBot="1" x14ac:dyDescent="0.3">
      <c r="F95" s="249">
        <f t="shared" ca="1" si="180"/>
        <v>2019</v>
      </c>
      <c r="G95" s="249" t="str">
        <f t="shared" ca="1" si="176"/>
        <v>nov</v>
      </c>
      <c r="H95" s="3"/>
      <c r="I95" s="73">
        <f t="shared" si="177"/>
        <v>0</v>
      </c>
      <c r="J95" s="246"/>
      <c r="K95" s="2"/>
      <c r="L95" s="73">
        <f t="shared" si="178"/>
        <v>0</v>
      </c>
      <c r="M95" s="246"/>
      <c r="N95" s="2"/>
      <c r="O95" s="73">
        <f t="shared" si="179"/>
        <v>0</v>
      </c>
      <c r="P95" s="246"/>
      <c r="Q95" s="2"/>
      <c r="R95" s="2"/>
      <c r="S95" s="2"/>
      <c r="T95" s="2"/>
      <c r="U95" s="2"/>
      <c r="V95" s="2"/>
      <c r="X95" s="110" t="s">
        <v>1379</v>
      </c>
      <c r="Y95" s="163">
        <f>Y94</f>
        <v>0</v>
      </c>
      <c r="Z95" s="173">
        <f>Z94-$AB$142</f>
        <v>0</v>
      </c>
      <c r="AA95" s="170">
        <f>Y95+Z95</f>
        <v>0</v>
      </c>
      <c r="AB95" s="104"/>
      <c r="AC95" s="131"/>
      <c r="AD95" s="131"/>
      <c r="AE95" s="65"/>
      <c r="AF95" s="65"/>
      <c r="BB95" s="119" t="s">
        <v>1296</v>
      </c>
      <c r="BL95" s="119" t="s">
        <v>1296</v>
      </c>
    </row>
    <row r="96" spans="3:66" ht="16.5" customHeight="1" x14ac:dyDescent="0.25">
      <c r="F96" s="249">
        <f t="shared" ca="1" si="180"/>
        <v>2019</v>
      </c>
      <c r="G96" s="249" t="str">
        <f t="shared" ca="1" si="176"/>
        <v>dec</v>
      </c>
      <c r="H96" s="3"/>
      <c r="I96" s="73">
        <f t="shared" si="177"/>
        <v>0</v>
      </c>
      <c r="J96" s="246"/>
      <c r="K96" s="2"/>
      <c r="L96" s="73">
        <f t="shared" si="178"/>
        <v>0</v>
      </c>
      <c r="M96" s="246"/>
      <c r="N96" s="2"/>
      <c r="O96" s="73">
        <f t="shared" si="179"/>
        <v>0</v>
      </c>
      <c r="P96" s="246"/>
      <c r="Q96" s="2"/>
      <c r="R96" s="2"/>
      <c r="S96" s="2"/>
      <c r="T96" s="2"/>
      <c r="U96" s="2"/>
      <c r="V96" s="2"/>
      <c r="X96" s="110"/>
      <c r="Y96" s="131"/>
      <c r="Z96" s="131"/>
      <c r="AA96" s="131"/>
      <c r="AB96" s="104"/>
      <c r="AC96" s="131"/>
      <c r="AD96" s="131"/>
      <c r="AE96" s="162"/>
    </row>
    <row r="97" spans="2:77" ht="16.5" customHeight="1" thickBot="1" x14ac:dyDescent="0.3">
      <c r="F97" s="3"/>
      <c r="G97" s="3"/>
      <c r="H97" s="3"/>
      <c r="I97" s="51">
        <f>SUM(I85:I96)</f>
        <v>0</v>
      </c>
      <c r="J97" s="51">
        <f>SUM(J85:J96)</f>
        <v>0</v>
      </c>
      <c r="L97" s="51">
        <f>SUM(L85:L96)</f>
        <v>0</v>
      </c>
      <c r="M97" s="51">
        <f>SUM(M85:M96)</f>
        <v>0</v>
      </c>
      <c r="O97" s="51">
        <f>SUM(O85:O96)</f>
        <v>0</v>
      </c>
      <c r="P97" s="51">
        <f>SUM(P85:P96)</f>
        <v>0</v>
      </c>
      <c r="Q97" s="2"/>
      <c r="R97" s="2"/>
      <c r="S97" s="2"/>
      <c r="T97" s="2"/>
      <c r="U97" s="2"/>
      <c r="V97" s="2"/>
      <c r="AC97" s="162"/>
      <c r="AD97" s="162"/>
      <c r="BA97" s="24" t="s">
        <v>1399</v>
      </c>
      <c r="BB97" s="32">
        <f>'Indata byggnad och BBR krav'!$AA$13</f>
        <v>0.06</v>
      </c>
      <c r="BC97" s="32">
        <f>'Indata byggnad och BBR krav'!$AA$8</f>
        <v>2.1999999999999999E-2</v>
      </c>
      <c r="BD97" s="191"/>
      <c r="BK97" s="24" t="s">
        <v>1399</v>
      </c>
      <c r="BL97" s="32">
        <f>'Indata byggnad och BBR krav'!$AA$13</f>
        <v>0.06</v>
      </c>
      <c r="BM97" s="32">
        <f>'Indata byggnad och BBR krav'!$AA$8</f>
        <v>2.1999999999999999E-2</v>
      </c>
      <c r="BN97" s="191"/>
    </row>
    <row r="98" spans="2:77" ht="16.5" customHeight="1" thickBot="1" x14ac:dyDescent="0.3">
      <c r="F98" s="3"/>
      <c r="G98" s="3"/>
      <c r="H98" s="3"/>
      <c r="I98" s="73"/>
      <c r="J98" s="2"/>
      <c r="K98" s="2"/>
      <c r="L98" s="73"/>
      <c r="M98" s="2"/>
      <c r="N98" s="2"/>
      <c r="O98" s="73"/>
      <c r="P98" s="2"/>
      <c r="Q98" s="2"/>
      <c r="R98" s="2"/>
      <c r="S98" s="2"/>
      <c r="T98" s="2"/>
      <c r="U98" s="2"/>
      <c r="V98" s="2"/>
      <c r="X98" s="110"/>
      <c r="Y98" s="110"/>
      <c r="Z98" s="110"/>
      <c r="AA98" s="110"/>
      <c r="AB98" s="110"/>
      <c r="AC98" s="174"/>
      <c r="AD98" s="174"/>
      <c r="AF98" s="174"/>
      <c r="AZ98" s="297"/>
      <c r="BA98" s="298" t="s">
        <v>1408</v>
      </c>
      <c r="BB98" s="280">
        <f>BB92*1000/'Indata byggnad och BBR krav'!$C$40*'Indata byggnad och BBR krav'!$C$38*BB97</f>
        <v>0</v>
      </c>
      <c r="BC98" s="280">
        <f>BC92*1000/'Indata byggnad och BBR krav'!$C$40*'Indata byggnad och BBR krav'!$C$38*BC97</f>
        <v>0</v>
      </c>
      <c r="BD98" s="281">
        <f>BB98+BC98</f>
        <v>0</v>
      </c>
      <c r="BJ98" s="297"/>
      <c r="BK98" s="298" t="s">
        <v>1408</v>
      </c>
      <c r="BL98" s="280">
        <f>BL91*1000/'Indata byggnad och BBR krav'!$C$40*'Indata byggnad och BBR krav'!$C$38*BL97</f>
        <v>0</v>
      </c>
      <c r="BM98" s="280">
        <f>BM91*1000/'Indata byggnad och BBR krav'!$C$40*'Indata byggnad och BBR krav'!$C$38*BM97</f>
        <v>0</v>
      </c>
      <c r="BN98" s="281">
        <f>BL98+BM98</f>
        <v>0</v>
      </c>
    </row>
    <row r="99" spans="2:77" ht="16.5" customHeight="1" thickBot="1" x14ac:dyDescent="0.3">
      <c r="E99" s="20"/>
      <c r="I99" s="17"/>
      <c r="L99" s="17"/>
      <c r="O99" s="17"/>
      <c r="X99" s="110"/>
      <c r="Y99" s="110"/>
      <c r="Z99" s="110"/>
      <c r="AA99" s="110"/>
      <c r="AB99" s="110"/>
      <c r="AD99" s="174"/>
      <c r="AZ99" s="297"/>
      <c r="BA99" s="299" t="s">
        <v>1448</v>
      </c>
      <c r="BB99" s="280">
        <f>BB92*1000/'Indata byggnad och BBR krav'!$C$16*'Indata byggnad och BBR krav'!$C$38*BB97</f>
        <v>0</v>
      </c>
      <c r="BC99" s="280">
        <f>BC92*1000/'Indata byggnad och BBR krav'!$C$16*'Indata byggnad och BBR krav'!$C$38*BC97</f>
        <v>0</v>
      </c>
      <c r="BD99" s="281">
        <f t="shared" ref="BD99:BD100" si="181">BB99+BC99</f>
        <v>0</v>
      </c>
      <c r="BJ99" s="297"/>
      <c r="BK99" s="299" t="s">
        <v>1448</v>
      </c>
      <c r="BL99" s="280">
        <f>BL91*1000/'Indata byggnad och BBR krav'!$C$16*'Indata byggnad och BBR krav'!$C$38*BL97</f>
        <v>0</v>
      </c>
      <c r="BM99" s="280">
        <f>BM91*1000/'Indata byggnad och BBR krav'!$C$16*'Indata byggnad och BBR krav'!$C$38*BM97</f>
        <v>0</v>
      </c>
      <c r="BN99" s="281">
        <f t="shared" ref="BN99:BN100" si="182">BL99+BM99</f>
        <v>0</v>
      </c>
    </row>
    <row r="100" spans="2:77" ht="16.5" customHeight="1" thickBot="1" x14ac:dyDescent="0.3">
      <c r="B100" s="267">
        <v>4</v>
      </c>
      <c r="C100" s="268" t="s">
        <v>1346</v>
      </c>
      <c r="D100" s="269"/>
      <c r="E100" s="269"/>
      <c r="F100" s="257"/>
      <c r="G100" s="257"/>
      <c r="H100" s="257"/>
      <c r="I100" s="257"/>
      <c r="J100" s="256"/>
      <c r="K100" s="256"/>
      <c r="L100" s="256"/>
      <c r="M100" s="257"/>
      <c r="N100" s="257"/>
      <c r="O100" s="257"/>
      <c r="P100" s="257"/>
      <c r="Q100" s="257"/>
      <c r="R100" s="257"/>
      <c r="S100" s="257"/>
      <c r="T100" s="257"/>
      <c r="U100" s="257"/>
      <c r="V100" s="257"/>
      <c r="W100" s="258"/>
      <c r="Y100" s="86" t="s">
        <v>1387</v>
      </c>
      <c r="AD100" s="174"/>
      <c r="AF100" s="86" t="s">
        <v>1276</v>
      </c>
      <c r="AM100" s="87" t="s">
        <v>1386</v>
      </c>
      <c r="AZ100" s="297"/>
      <c r="BA100" s="299" t="s">
        <v>1449</v>
      </c>
      <c r="BB100" s="282">
        <f>BB98/50</f>
        <v>0</v>
      </c>
      <c r="BC100" s="282">
        <f>BC98/50</f>
        <v>0</v>
      </c>
      <c r="BD100" s="283">
        <f t="shared" si="181"/>
        <v>0</v>
      </c>
      <c r="BJ100" s="297"/>
      <c r="BK100" s="299" t="s">
        <v>1449</v>
      </c>
      <c r="BL100" s="282">
        <f>BL98/50</f>
        <v>0</v>
      </c>
      <c r="BM100" s="282">
        <f>BM98/50</f>
        <v>0</v>
      </c>
      <c r="BN100" s="283">
        <f t="shared" si="182"/>
        <v>0</v>
      </c>
    </row>
    <row r="101" spans="2:77" ht="16.5" customHeight="1" x14ac:dyDescent="0.25">
      <c r="Y101" s="84" t="s">
        <v>1275</v>
      </c>
      <c r="AD101" s="122" t="s">
        <v>1080</v>
      </c>
      <c r="AF101" s="84" t="s">
        <v>1187</v>
      </c>
      <c r="AM101" s="85" t="s">
        <v>1388</v>
      </c>
    </row>
    <row r="102" spans="2:77" ht="16.5" customHeight="1" x14ac:dyDescent="0.25">
      <c r="F102" s="350" t="s">
        <v>1138</v>
      </c>
      <c r="G102" s="350"/>
      <c r="I102" s="60" t="s">
        <v>1047</v>
      </c>
      <c r="L102" s="60" t="s">
        <v>1048</v>
      </c>
      <c r="O102" s="60" t="s">
        <v>1049</v>
      </c>
      <c r="X102" s="110" t="s">
        <v>1093</v>
      </c>
      <c r="Y102" s="35" t="str">
        <f>IF($J$104=$Y$103,J103,"")</f>
        <v>El</v>
      </c>
      <c r="Z102" s="35" t="str">
        <f>IF($M$104=$Y$103,M103,"")</f>
        <v>El</v>
      </c>
      <c r="AA102" s="35" t="str">
        <f>IF($P$104=$Y$103,P103,"")</f>
        <v/>
      </c>
      <c r="AB102" s="110"/>
      <c r="AD102" s="104" t="s">
        <v>1300</v>
      </c>
      <c r="AE102" s="110" t="s">
        <v>1093</v>
      </c>
      <c r="AF102" s="35" t="str">
        <f>Y102</f>
        <v>El</v>
      </c>
      <c r="AG102" s="35" t="str">
        <f>Z102</f>
        <v>El</v>
      </c>
      <c r="AH102" s="35" t="str">
        <f>AA102</f>
        <v/>
      </c>
      <c r="AI102" s="110"/>
      <c r="AM102" s="87"/>
      <c r="BB102" s="185" t="s">
        <v>1390</v>
      </c>
      <c r="BL102" s="185" t="s">
        <v>1391</v>
      </c>
    </row>
    <row r="103" spans="2:77" ht="16.5" customHeight="1" x14ac:dyDescent="0.25">
      <c r="C103" s="33" t="s">
        <v>1050</v>
      </c>
      <c r="D103" s="242">
        <v>1</v>
      </c>
      <c r="F103" s="34" t="s">
        <v>9</v>
      </c>
      <c r="G103" s="249">
        <f>$G$14</f>
        <v>2019</v>
      </c>
      <c r="H103" s="3"/>
      <c r="I103" s="33" t="s">
        <v>1209</v>
      </c>
      <c r="J103" s="242" t="s">
        <v>1085</v>
      </c>
      <c r="K103" s="3"/>
      <c r="L103" s="33" t="s">
        <v>1209</v>
      </c>
      <c r="M103" s="242" t="s">
        <v>1085</v>
      </c>
      <c r="N103" s="3"/>
      <c r="O103" s="33" t="s">
        <v>1209</v>
      </c>
      <c r="P103" s="242" t="s">
        <v>1085</v>
      </c>
      <c r="Q103" s="3"/>
      <c r="R103" s="3"/>
      <c r="S103" s="3"/>
      <c r="T103" s="3"/>
      <c r="U103" s="3"/>
      <c r="V103" s="3"/>
      <c r="X103" s="110"/>
      <c r="Y103" s="85" t="s">
        <v>1091</v>
      </c>
      <c r="AD103" s="104" t="s">
        <v>1389</v>
      </c>
      <c r="AE103" s="110"/>
      <c r="AF103" s="85" t="s">
        <v>1091</v>
      </c>
      <c r="AO103" s="80" t="s">
        <v>1080</v>
      </c>
      <c r="BB103" s="21" t="s">
        <v>1158</v>
      </c>
      <c r="BL103" s="21" t="s">
        <v>1158</v>
      </c>
    </row>
    <row r="104" spans="2:77" ht="16.5" customHeight="1" x14ac:dyDescent="0.25">
      <c r="F104" s="34" t="s">
        <v>19</v>
      </c>
      <c r="G104" s="249" t="str">
        <f>$G$15</f>
        <v>jan</v>
      </c>
      <c r="H104" s="3"/>
      <c r="I104" s="33" t="s">
        <v>1139</v>
      </c>
      <c r="J104" s="242" t="s">
        <v>1091</v>
      </c>
      <c r="K104" s="3"/>
      <c r="L104" s="33" t="s">
        <v>1139</v>
      </c>
      <c r="M104" s="242" t="s">
        <v>1091</v>
      </c>
      <c r="N104" s="3"/>
      <c r="O104" s="33" t="s">
        <v>1139</v>
      </c>
      <c r="P104" s="242" t="s">
        <v>1080</v>
      </c>
      <c r="Q104" s="3"/>
      <c r="R104" s="3"/>
      <c r="S104" s="3"/>
      <c r="T104" s="3"/>
      <c r="U104" s="3"/>
      <c r="V104" s="3"/>
      <c r="X104" s="110" t="s">
        <v>1093</v>
      </c>
      <c r="Y104" s="35" t="str">
        <f>Y102</f>
        <v>El</v>
      </c>
      <c r="Z104" s="35" t="str">
        <f>IF($Z$102&lt;&gt;$Y$102,Z102,"")</f>
        <v/>
      </c>
      <c r="AA104" s="35" t="str">
        <f>IF(AND($AA$102&lt;&gt;$Z$102,$AA$102&lt;&gt;$Y$102),AA102,"")</f>
        <v/>
      </c>
      <c r="AB104" s="35" t="s">
        <v>1094</v>
      </c>
      <c r="AD104" s="35" t="s">
        <v>1075</v>
      </c>
      <c r="AE104" s="110" t="s">
        <v>1093</v>
      </c>
      <c r="AF104" s="35" t="str">
        <f>Y104</f>
        <v>El</v>
      </c>
      <c r="AG104" s="35" t="str">
        <f>Z104</f>
        <v/>
      </c>
      <c r="AH104" s="35" t="str">
        <f>AA104</f>
        <v/>
      </c>
      <c r="AI104" s="35" t="s">
        <v>1277</v>
      </c>
      <c r="AJ104" s="35" t="s">
        <v>1094</v>
      </c>
      <c r="AK104" s="84" t="s">
        <v>1368</v>
      </c>
      <c r="AM104" s="35" t="s">
        <v>1179</v>
      </c>
      <c r="AN104" s="35" t="s">
        <v>1108</v>
      </c>
      <c r="AO104" s="35" t="s">
        <v>1075</v>
      </c>
      <c r="BA104" s="24" t="s">
        <v>1093</v>
      </c>
      <c r="BB104" s="32" t="str">
        <f>AF104</f>
        <v>El</v>
      </c>
      <c r="BC104" s="32" t="str">
        <f>AG104</f>
        <v/>
      </c>
      <c r="BD104" s="32" t="str">
        <f>AH104</f>
        <v/>
      </c>
      <c r="BK104" s="24" t="s">
        <v>1093</v>
      </c>
      <c r="BL104" s="32" t="str">
        <f>AF104</f>
        <v>El</v>
      </c>
      <c r="BM104" s="32" t="str">
        <f>AG104</f>
        <v/>
      </c>
      <c r="BN104" s="32" t="str">
        <f>AH104</f>
        <v/>
      </c>
    </row>
    <row r="105" spans="2:77" ht="16.5" customHeight="1" x14ac:dyDescent="0.25">
      <c r="C105" s="34" t="s">
        <v>1262</v>
      </c>
      <c r="D105" s="242" t="s">
        <v>1222</v>
      </c>
      <c r="F105" s="60"/>
      <c r="G105" s="60"/>
      <c r="H105" s="3"/>
      <c r="Y105" s="164">
        <f>IF(AND(J$104=$Y$103, $J$103=$Y$104),I108,0)+IF(AND($M$104=$Y$103, $M$103=$Y$104),L108,0)+IF(AND($P$104=$Y$103, $P$103=$Y$104),O108,0)</f>
        <v>0</v>
      </c>
      <c r="Z105" s="164">
        <f t="shared" ref="Z105:Z116" si="183">IF(AND(J$104=$Y$103, $J$103=$Z$104),I108,0)+IF(AND($M$104=$Y$103, $M$103=$Z$104),L108,0)+IF(AND($P$104=$Y$103, $P$103=$Z$104),O108,0)</f>
        <v>0</v>
      </c>
      <c r="AA105" s="164">
        <f>IF(AND(J$104=$Y$103, $J$103=$AA$104),I108,0)+IF(AND($M$104=$Y$103, $M$103=$AA$104),L108,0)+IF(AND($P$104=$Y$103, $P$103=$AA$104),O108,0)</f>
        <v>0</v>
      </c>
      <c r="AB105" s="164">
        <f>Y105+Z105+AA105</f>
        <v>0</v>
      </c>
      <c r="AD105" s="164">
        <f>IF(AND('Indata byggnad och BBR krav'!$C$17&gt;0,$D$107="Mäts separat"),(IF($J$104=$AD$101,I108,0)+IF($M$104=$AD$101,L108,0)+IF($P$104=$AD$101,O108,0)),0)</f>
        <v>0</v>
      </c>
      <c r="AF105" s="164">
        <f>IF(AND($AF$104="El",$D$107="Ingår i mätdata fastighetsel"),Y105-AO105,Y105)</f>
        <v>0</v>
      </c>
      <c r="AG105" s="164">
        <f t="shared" ref="AG105:AG116" si="184">IF(AND($AG$104="El",$D$107="Ingår i mätdata fastighetsel"),Z105-AO105,Z105)</f>
        <v>0</v>
      </c>
      <c r="AH105" s="164">
        <f t="shared" ref="AH105:AH116" si="185">IF(AND($AH$104="El",$D$107="Ingår i mätdata fastighetsel"),AA105-AO105,AA105)</f>
        <v>0</v>
      </c>
      <c r="AI105" s="163">
        <f>IF($AF$104="El",AF105-AA130,IF($AG$104="El",AG105-AA130,IF($AH$104="El",AH105-AA130)))</f>
        <v>0</v>
      </c>
      <c r="AJ105" s="197">
        <f>IF($AF$104="El",(AI105+AG105+AH105),IF($AG$104="El",(AF105+AH105+AI105),IF($AH$104="El",AF105+AG105+AI105)))</f>
        <v>0</v>
      </c>
      <c r="AK105" s="237" t="str">
        <f>IF((AF105)&lt;0,"Fel i indata","")</f>
        <v/>
      </c>
      <c r="AL105" s="237" t="str">
        <f>IF(AND(AK105="",AI105&lt;0),"Fel i indata","")</f>
        <v/>
      </c>
      <c r="AM105" s="35" t="str">
        <f t="shared" ref="AM105:AM116" ca="1" si="186">G108</f>
        <v>jan</v>
      </c>
      <c r="AN105" s="177">
        <f ca="1">VLOOKUP(AM105,$EW$2:$EY$13,3,FALSE)</f>
        <v>0.12906000000000001</v>
      </c>
      <c r="AO105" s="134">
        <f t="shared" ref="AO105:AO116" si="187">IF($D$105="Finns",IF($D$107="Mäts separat",AD105,($D$110*AN105)),0)</f>
        <v>0</v>
      </c>
      <c r="BA105" s="24" t="s">
        <v>1285</v>
      </c>
      <c r="BB105" s="32">
        <f>IF(OR(BB104="Fjärrvärme",BB104="Biobränsle",BB104="Gas",BB104="Olja"),1,IF(BB104="El",1.6,""))</f>
        <v>1.6</v>
      </c>
      <c r="BC105" s="32" t="str">
        <f>IF(OR(BC104="Fjärrvärme",BC104="Biobränsle",BC104="Gas",BC104="Olja"),1,IF(BC104="El",1.6,""))</f>
        <v/>
      </c>
      <c r="BD105" s="32" t="str">
        <f>IF(OR(BD104="Fjärrvärme",BD104="Biobränsle",BD104="Gas",BD104="Olja"),1,IF(BD104="El",1.6,""))</f>
        <v/>
      </c>
      <c r="BK105" s="24" t="s">
        <v>1285</v>
      </c>
      <c r="BL105" s="32">
        <f>IF(OR(BB104="Fjärrvärme",BB104="Biobränsle",BB104="Gas",BB104="Olja"),1,IF(BB104="El",1.6,""))</f>
        <v>1.6</v>
      </c>
      <c r="BM105" s="32" t="str">
        <f>IF(OR(BM104="Fjärrvärme",BM104="Biobränsle",BM104="Gas",BM104="Olja"),1,IF(BM104="El",1.6,""))</f>
        <v/>
      </c>
      <c r="BN105" s="32" t="str">
        <f>IF(OR(BN104="Fjärrvärme",BN104="Biobränsle",BN104="Gas",BN104="Olja"),1,IF(BN104="El",1.6,""))</f>
        <v/>
      </c>
      <c r="BT105" s="22"/>
      <c r="BU105" s="22"/>
      <c r="BV105" s="22"/>
      <c r="BW105" s="22"/>
      <c r="BX105" s="22"/>
      <c r="BY105" s="22"/>
    </row>
    <row r="106" spans="2:77" ht="16.5" customHeight="1" x14ac:dyDescent="0.25">
      <c r="F106" s="6"/>
      <c r="G106" s="3"/>
      <c r="H106" s="3"/>
      <c r="I106" s="64"/>
      <c r="J106" s="40" t="s">
        <v>1132</v>
      </c>
      <c r="K106" s="40"/>
      <c r="L106" s="64"/>
      <c r="M106" s="40" t="s">
        <v>1132</v>
      </c>
      <c r="N106" s="40"/>
      <c r="O106" s="64"/>
      <c r="P106" s="40" t="s">
        <v>1132</v>
      </c>
      <c r="Q106" s="40"/>
      <c r="R106" s="40"/>
      <c r="S106" s="40"/>
      <c r="T106" s="40"/>
      <c r="U106" s="40"/>
      <c r="V106" s="40"/>
      <c r="Y106" s="164">
        <f t="shared" ref="Y106:Y116" si="188">IF(AND(J$104=$Y$103, $J$103=$Y$104),I109,0)+IF(AND($M$104=$Y$103, $M$103=$Y$104),L109,0)+IF(AND($P$104=$Y$103, $P$103=$Y$104),O109,0)</f>
        <v>0</v>
      </c>
      <c r="Z106" s="164">
        <f t="shared" si="183"/>
        <v>0</v>
      </c>
      <c r="AA106" s="164">
        <f t="shared" ref="AA106:AA116" si="189">IF(AND(J$104=$Y$103, $J$103=$AA$104),I109,0)+IF(AND($M$104=$Y$103, $M$103=$AA$104),L109,0)+IF(AND($P$104=$Y$103, $P$103=$AA$104),O109,0)</f>
        <v>0</v>
      </c>
      <c r="AB106" s="164">
        <f t="shared" ref="AB106:AB116" si="190">Y106+Z106+AA106</f>
        <v>0</v>
      </c>
      <c r="AD106" s="164">
        <f>IF(AND('Indata byggnad och BBR krav'!$C$17&gt;0,$D$107="Mäts separat"),(IF($J$104=$AD$101,I109,0)+IF($M$104=$AD$101,L109,0)+IF($P$104=$AD$101,O109,0)),0)</f>
        <v>0</v>
      </c>
      <c r="AF106" s="164">
        <f t="shared" ref="AF106:AF116" si="191">IF(AND($AF$104="El",$D$107="Ingår i mätdata fastighetsel"),Y106-AO106,Y106)</f>
        <v>0</v>
      </c>
      <c r="AG106" s="164">
        <f t="shared" si="184"/>
        <v>0</v>
      </c>
      <c r="AH106" s="164">
        <f t="shared" si="185"/>
        <v>0</v>
      </c>
      <c r="AI106" s="163">
        <f t="shared" ref="AI106:AI116" si="192">IF($AF$104="El",AF106-AA131,IF($AG$104="El",AG106-AA131,IF($AH$104="El",AH106-AA131)))</f>
        <v>0</v>
      </c>
      <c r="AJ106" s="197">
        <f t="shared" ref="AJ106:AJ116" si="193">IF($AF$104="El",(AI106+AG106+AH106),IF($AG$104="El",(AF106+AH106+AI106),IF($AH$104="El",AF106+AG106+AI106)))</f>
        <v>0</v>
      </c>
      <c r="AK106" s="237" t="str">
        <f t="shared" ref="AK106:AK116" si="194">IF((AF106)&lt;0,"Fel i indata","")</f>
        <v/>
      </c>
      <c r="AL106" s="237" t="str">
        <f t="shared" ref="AL106:AL116" si="195">IF(AND(AK106="",AI106&lt;0),"Fel i indata","")</f>
        <v/>
      </c>
      <c r="AM106" s="35" t="str">
        <f t="shared" ca="1" si="186"/>
        <v>feb</v>
      </c>
      <c r="AN106" s="177">
        <f t="shared" ref="AN106:AN116" ca="1" si="196">VLOOKUP(AM106,$EW$2:$EY$13,3,FALSE)</f>
        <v>0.11473999999999999</v>
      </c>
      <c r="AO106" s="134">
        <f t="shared" si="187"/>
        <v>0</v>
      </c>
      <c r="BA106" s="24" t="s">
        <v>1286</v>
      </c>
      <c r="BB106" s="32">
        <f>IF(OR(BB104="El",BB104="Gas",BB104="Olja"),1.8,IF(BB104="Fjärrvärme",0.7,IF(BB104="Biobränsle",0.6,"")))</f>
        <v>1.8</v>
      </c>
      <c r="BC106" s="32" t="str">
        <f>IF(OR(BC104="El",BC104="Gas",BC104="Olja"),1.8,IF(BC104="Fjärrvärme",0.7,IF(BC104="Biobränsle",0.6,"")))</f>
        <v/>
      </c>
      <c r="BD106" s="32" t="str">
        <f>IF(OR(BD104="El",BD104="Gas",BD104="Olja"),1.8,IF(BD104="Fjärrvärme",0.7,IF(BD104="Biobränsle",0.6,"")))</f>
        <v/>
      </c>
      <c r="BE106" s="25"/>
      <c r="BK106" s="24" t="s">
        <v>1286</v>
      </c>
      <c r="BL106" s="32">
        <f>IF(OR(BB104="El",BB104="Gas",BB104="Olja"),1.8,IF(BB104="Fjärrvärme",0.7,IF(BB104="Biobränsle",0.6,"")))</f>
        <v>1.8</v>
      </c>
      <c r="BM106" s="32" t="str">
        <f>IF(OR(BM104="El",BM104="Gas",BM104="Olja"),1.8,IF(BM104="Fjärrvärme",0.7,IF(BM104="Biobränsle",0.6,"")))</f>
        <v/>
      </c>
      <c r="BN106" s="32" t="str">
        <f>IF(OR(BN104="El",BN104="Gas",BN104="Olja"),1.8,IF(BN104="Fjärrvärme",0.7,IF(BN104="Biobränsle",0.6,"")))</f>
        <v/>
      </c>
      <c r="BO106" s="25"/>
      <c r="BT106" s="27"/>
      <c r="BU106" s="27"/>
      <c r="BV106" s="27"/>
      <c r="BW106" s="27"/>
      <c r="BX106" s="27"/>
      <c r="BY106" s="27"/>
    </row>
    <row r="107" spans="2:77" ht="16.5" customHeight="1" x14ac:dyDescent="0.25">
      <c r="C107" s="34" t="s">
        <v>1263</v>
      </c>
      <c r="D107" s="242" t="s">
        <v>1264</v>
      </c>
      <c r="F107" s="262" t="s">
        <v>1044</v>
      </c>
      <c r="G107" s="262" t="s">
        <v>1045</v>
      </c>
      <c r="H107" s="3"/>
      <c r="I107" s="23" t="s">
        <v>1075</v>
      </c>
      <c r="J107" s="262" t="s">
        <v>1075</v>
      </c>
      <c r="K107" s="3"/>
      <c r="L107" s="23" t="s">
        <v>1075</v>
      </c>
      <c r="M107" s="262" t="s">
        <v>1075</v>
      </c>
      <c r="N107" s="3"/>
      <c r="O107" s="23" t="s">
        <v>1075</v>
      </c>
      <c r="P107" s="262" t="s">
        <v>1075</v>
      </c>
      <c r="Q107" s="3"/>
      <c r="R107" s="3"/>
      <c r="S107" s="3"/>
      <c r="T107" s="3"/>
      <c r="U107" s="3"/>
      <c r="V107" s="3"/>
      <c r="Y107" s="164">
        <f t="shared" si="188"/>
        <v>0</v>
      </c>
      <c r="Z107" s="164">
        <f t="shared" si="183"/>
        <v>0</v>
      </c>
      <c r="AA107" s="164">
        <f t="shared" si="189"/>
        <v>0</v>
      </c>
      <c r="AB107" s="164">
        <f t="shared" si="190"/>
        <v>0</v>
      </c>
      <c r="AD107" s="164">
        <f>IF(AND('Indata byggnad och BBR krav'!$C$17&gt;0,$D$107="Mäts separat"),(IF($J$104=$AD$101,I110,0)+IF($M$104=$AD$101,L110,0)+IF($P$104=$AD$101,O110,0)),0)</f>
        <v>0</v>
      </c>
      <c r="AF107" s="164">
        <f t="shared" si="191"/>
        <v>0</v>
      </c>
      <c r="AG107" s="164">
        <f t="shared" si="184"/>
        <v>0</v>
      </c>
      <c r="AH107" s="164">
        <f t="shared" si="185"/>
        <v>0</v>
      </c>
      <c r="AI107" s="163">
        <f t="shared" si="192"/>
        <v>0</v>
      </c>
      <c r="AJ107" s="197">
        <f t="shared" si="193"/>
        <v>0</v>
      </c>
      <c r="AK107" s="237" t="str">
        <f t="shared" si="194"/>
        <v/>
      </c>
      <c r="AL107" s="237" t="str">
        <f t="shared" si="195"/>
        <v/>
      </c>
      <c r="AM107" s="35" t="str">
        <f t="shared" ca="1" si="186"/>
        <v>mars</v>
      </c>
      <c r="AN107" s="177">
        <f t="shared" ca="1" si="196"/>
        <v>0.11559</v>
      </c>
      <c r="AO107" s="134">
        <f t="shared" si="187"/>
        <v>0</v>
      </c>
      <c r="BB107" s="25" t="s">
        <v>1091</v>
      </c>
      <c r="BL107" s="25" t="s">
        <v>1091</v>
      </c>
      <c r="BT107" s="27"/>
      <c r="BU107" s="27"/>
      <c r="BV107" s="27"/>
      <c r="BW107" s="27"/>
      <c r="BX107" s="27"/>
      <c r="BY107" s="27"/>
    </row>
    <row r="108" spans="2:77" ht="16.5" customHeight="1" x14ac:dyDescent="0.25">
      <c r="E108" s="20"/>
      <c r="F108" s="249">
        <f>G103</f>
        <v>2019</v>
      </c>
      <c r="G108" s="249" t="str">
        <f t="shared" ref="G108:G119" ca="1" si="197">OFFSET($EI$2,$EI$43+ROW(F108)-ROW($F$108),0)</f>
        <v>jan</v>
      </c>
      <c r="H108" s="3"/>
      <c r="I108" s="41">
        <f t="shared" ref="I108:I119" si="198">IF($D$103&gt;0,J108,0)</f>
        <v>0</v>
      </c>
      <c r="J108" s="259"/>
      <c r="K108" s="2"/>
      <c r="L108" s="73">
        <f t="shared" ref="L108:L119" si="199">IF($D$103&gt;1,M108,0)</f>
        <v>0</v>
      </c>
      <c r="M108" s="259"/>
      <c r="N108" s="2"/>
      <c r="O108" s="73">
        <f t="shared" ref="O108:O119" si="200">IF($D$103&gt;2,P108,0)</f>
        <v>0</v>
      </c>
      <c r="P108" s="259"/>
      <c r="Q108" s="2"/>
      <c r="R108" s="2"/>
      <c r="S108" s="2"/>
      <c r="T108" s="2"/>
      <c r="U108" s="2"/>
      <c r="V108" s="2"/>
      <c r="Y108" s="164">
        <f t="shared" si="188"/>
        <v>0</v>
      </c>
      <c r="Z108" s="164">
        <f t="shared" si="183"/>
        <v>0</v>
      </c>
      <c r="AA108" s="164">
        <f t="shared" si="189"/>
        <v>0</v>
      </c>
      <c r="AB108" s="164">
        <f t="shared" si="190"/>
        <v>0</v>
      </c>
      <c r="AD108" s="164">
        <f>IF(AND('Indata byggnad och BBR krav'!$C$17&gt;0,$D$107="Mäts separat"),(IF($J$104=$AD$101,I111,0)+IF($M$104=$AD$101,L111,0)+IF($P$104=$AD$101,O111,0)),0)</f>
        <v>0</v>
      </c>
      <c r="AF108" s="164">
        <f t="shared" si="191"/>
        <v>0</v>
      </c>
      <c r="AG108" s="164">
        <f t="shared" si="184"/>
        <v>0</v>
      </c>
      <c r="AH108" s="164">
        <f t="shared" si="185"/>
        <v>0</v>
      </c>
      <c r="AI108" s="163">
        <f t="shared" si="192"/>
        <v>0</v>
      </c>
      <c r="AJ108" s="197">
        <f t="shared" si="193"/>
        <v>0</v>
      </c>
      <c r="AK108" s="237" t="str">
        <f t="shared" si="194"/>
        <v/>
      </c>
      <c r="AL108" s="237" t="str">
        <f t="shared" si="195"/>
        <v/>
      </c>
      <c r="AM108" s="35" t="str">
        <f t="shared" ca="1" si="186"/>
        <v>apr</v>
      </c>
      <c r="AN108" s="177">
        <f t="shared" ca="1" si="196"/>
        <v>9.8080000000000001E-2</v>
      </c>
      <c r="AO108" s="134">
        <f t="shared" si="187"/>
        <v>0</v>
      </c>
      <c r="BB108" s="32" t="str">
        <f>BB104</f>
        <v>El</v>
      </c>
      <c r="BC108" s="32" t="str">
        <f>BC104</f>
        <v/>
      </c>
      <c r="BD108" s="32" t="str">
        <f>BD104</f>
        <v/>
      </c>
      <c r="BE108" s="32" t="s">
        <v>1094</v>
      </c>
      <c r="BL108" s="32" t="str">
        <f>BL104</f>
        <v>El</v>
      </c>
      <c r="BM108" s="32" t="str">
        <f t="shared" ref="BM108:BN108" si="201">BM104</f>
        <v/>
      </c>
      <c r="BN108" s="32" t="str">
        <f t="shared" si="201"/>
        <v/>
      </c>
      <c r="BO108" s="32" t="s">
        <v>1094</v>
      </c>
      <c r="BT108" s="27"/>
      <c r="BU108" s="27"/>
      <c r="BV108" s="27"/>
      <c r="BW108" s="27"/>
      <c r="BX108" s="27"/>
      <c r="BY108" s="27"/>
    </row>
    <row r="109" spans="2:77" ht="16.5" customHeight="1" x14ac:dyDescent="0.25">
      <c r="C109" s="33" t="s">
        <v>1265</v>
      </c>
      <c r="D109" s="242"/>
      <c r="F109" s="249">
        <f ca="1">IF(G109="jan",F108+1,F108)</f>
        <v>2019</v>
      </c>
      <c r="G109" s="249" t="str">
        <f t="shared" ca="1" si="197"/>
        <v>feb</v>
      </c>
      <c r="H109" s="3"/>
      <c r="I109" s="41">
        <f t="shared" si="198"/>
        <v>0</v>
      </c>
      <c r="J109" s="259"/>
      <c r="K109" s="2"/>
      <c r="L109" s="73">
        <f t="shared" si="199"/>
        <v>0</v>
      </c>
      <c r="M109" s="259"/>
      <c r="N109" s="2"/>
      <c r="O109" s="73">
        <f t="shared" si="200"/>
        <v>0</v>
      </c>
      <c r="P109" s="259"/>
      <c r="Q109" s="2"/>
      <c r="R109" s="2"/>
      <c r="S109" s="2"/>
      <c r="T109" s="2"/>
      <c r="U109" s="2"/>
      <c r="V109" s="2"/>
      <c r="Y109" s="164">
        <f t="shared" si="188"/>
        <v>0</v>
      </c>
      <c r="Z109" s="164">
        <f t="shared" si="183"/>
        <v>0</v>
      </c>
      <c r="AA109" s="164">
        <f t="shared" si="189"/>
        <v>0</v>
      </c>
      <c r="AB109" s="164">
        <f t="shared" si="190"/>
        <v>0</v>
      </c>
      <c r="AD109" s="164">
        <f>IF(AND('Indata byggnad och BBR krav'!$C$17&gt;0,$D$107="Mäts separat"),(IF($J$104=$AD$101,I112,0)+IF($M$104=$AD$101,L112,0)+IF($P$104=$AD$101,O112,0)),0)</f>
        <v>0</v>
      </c>
      <c r="AF109" s="164">
        <f t="shared" si="191"/>
        <v>0</v>
      </c>
      <c r="AG109" s="164">
        <f t="shared" si="184"/>
        <v>0</v>
      </c>
      <c r="AH109" s="164">
        <f t="shared" si="185"/>
        <v>0</v>
      </c>
      <c r="AI109" s="163">
        <f t="shared" si="192"/>
        <v>0</v>
      </c>
      <c r="AJ109" s="197">
        <f t="shared" si="193"/>
        <v>0</v>
      </c>
      <c r="AK109" s="237" t="str">
        <f t="shared" si="194"/>
        <v/>
      </c>
      <c r="AL109" s="237" t="str">
        <f t="shared" si="195"/>
        <v/>
      </c>
      <c r="AM109" s="35" t="str">
        <f t="shared" ca="1" si="186"/>
        <v>maj</v>
      </c>
      <c r="AN109" s="177">
        <f t="shared" ca="1" si="196"/>
        <v>6.8420000000000009E-2</v>
      </c>
      <c r="AO109" s="134">
        <f t="shared" si="187"/>
        <v>0</v>
      </c>
      <c r="BB109" s="30">
        <f t="shared" ref="BB109:BB120" si="202">AF105</f>
        <v>0</v>
      </c>
      <c r="BC109" s="30">
        <f t="shared" ref="BC109:BC120" si="203">AG105</f>
        <v>0</v>
      </c>
      <c r="BD109" s="30">
        <f t="shared" ref="BD109:BD120" si="204">AH105</f>
        <v>0</v>
      </c>
      <c r="BE109" s="30">
        <f>BB109+BC109+BD109</f>
        <v>0</v>
      </c>
      <c r="BL109" s="30">
        <f t="shared" ref="BL109:BL120" si="205">AF105</f>
        <v>0</v>
      </c>
      <c r="BM109" s="30">
        <f t="shared" ref="BM109:BM120" si="206">AG105</f>
        <v>0</v>
      </c>
      <c r="BN109" s="30">
        <f t="shared" ref="BN109:BN120" si="207">AH105</f>
        <v>0</v>
      </c>
      <c r="BO109" s="30">
        <f>BL109+BM109+BN109</f>
        <v>0</v>
      </c>
      <c r="BT109" s="27"/>
      <c r="BU109" s="27"/>
      <c r="BV109" s="27"/>
      <c r="BW109" s="27"/>
      <c r="BX109" s="27"/>
      <c r="BY109" s="27"/>
    </row>
    <row r="110" spans="2:77" ht="16.5" customHeight="1" x14ac:dyDescent="0.25">
      <c r="C110" s="33" t="s">
        <v>1274</v>
      </c>
      <c r="D110" s="263">
        <f>D109*1000/'Indata byggnad och BBR krav'!$C$16*'Indata byggnad och BBR krav'!$C$17/100</f>
        <v>0</v>
      </c>
      <c r="F110" s="249">
        <f t="shared" ref="F110:F119" ca="1" si="208">IF(G110="jan",F109+1,F109)</f>
        <v>2019</v>
      </c>
      <c r="G110" s="249" t="str">
        <f t="shared" ca="1" si="197"/>
        <v>mars</v>
      </c>
      <c r="H110" s="3"/>
      <c r="I110" s="41">
        <f t="shared" si="198"/>
        <v>0</v>
      </c>
      <c r="J110" s="259"/>
      <c r="K110" s="2"/>
      <c r="L110" s="73">
        <f t="shared" si="199"/>
        <v>0</v>
      </c>
      <c r="M110" s="259"/>
      <c r="N110" s="2"/>
      <c r="O110" s="73">
        <f t="shared" si="200"/>
        <v>0</v>
      </c>
      <c r="P110" s="259"/>
      <c r="Q110" s="2"/>
      <c r="R110" s="2"/>
      <c r="S110" s="2"/>
      <c r="T110" s="2"/>
      <c r="U110" s="2"/>
      <c r="V110" s="2"/>
      <c r="Y110" s="164">
        <f t="shared" si="188"/>
        <v>0</v>
      </c>
      <c r="Z110" s="164">
        <f t="shared" si="183"/>
        <v>0</v>
      </c>
      <c r="AA110" s="164">
        <f t="shared" si="189"/>
        <v>0</v>
      </c>
      <c r="AB110" s="164">
        <f t="shared" si="190"/>
        <v>0</v>
      </c>
      <c r="AD110" s="164">
        <f>IF(AND('Indata byggnad och BBR krav'!$C$17&gt;0,$D$107="Mäts separat"),(IF($J$104=$AD$101,I113,0)+IF($M$104=$AD$101,L113,0)+IF($P$104=$AD$101,O113,0)),0)</f>
        <v>0</v>
      </c>
      <c r="AF110" s="164">
        <f t="shared" si="191"/>
        <v>0</v>
      </c>
      <c r="AG110" s="164">
        <f t="shared" si="184"/>
        <v>0</v>
      </c>
      <c r="AH110" s="164">
        <f t="shared" si="185"/>
        <v>0</v>
      </c>
      <c r="AI110" s="163">
        <f t="shared" si="192"/>
        <v>0</v>
      </c>
      <c r="AJ110" s="197">
        <f t="shared" si="193"/>
        <v>0</v>
      </c>
      <c r="AK110" s="237" t="str">
        <f t="shared" si="194"/>
        <v/>
      </c>
      <c r="AL110" s="237" t="str">
        <f t="shared" si="195"/>
        <v/>
      </c>
      <c r="AM110" s="35" t="str">
        <f t="shared" ca="1" si="186"/>
        <v xml:space="preserve">jun </v>
      </c>
      <c r="AN110" s="177">
        <f t="shared" ca="1" si="196"/>
        <v>4.113E-2</v>
      </c>
      <c r="AO110" s="134">
        <f t="shared" si="187"/>
        <v>0</v>
      </c>
      <c r="BB110" s="52">
        <f t="shared" si="202"/>
        <v>0</v>
      </c>
      <c r="BC110" s="52">
        <f t="shared" si="203"/>
        <v>0</v>
      </c>
      <c r="BD110" s="52">
        <f t="shared" si="204"/>
        <v>0</v>
      </c>
      <c r="BE110" s="30">
        <f t="shared" ref="BE110:BE120" si="209">BB110+BC110+BD110</f>
        <v>0</v>
      </c>
      <c r="BL110" s="30">
        <f t="shared" si="205"/>
        <v>0</v>
      </c>
      <c r="BM110" s="30">
        <f t="shared" si="206"/>
        <v>0</v>
      </c>
      <c r="BN110" s="30">
        <f t="shared" si="207"/>
        <v>0</v>
      </c>
      <c r="BO110" s="30">
        <f t="shared" ref="BO110:BO120" si="210">BL110+BM110+BN110</f>
        <v>0</v>
      </c>
      <c r="BT110" s="27"/>
      <c r="BU110" s="27"/>
      <c r="BV110" s="27"/>
      <c r="BW110" s="27"/>
      <c r="BX110" s="27"/>
      <c r="BY110" s="27"/>
    </row>
    <row r="111" spans="2:77" ht="16.5" customHeight="1" x14ac:dyDescent="0.25">
      <c r="C111" s="152" t="s">
        <v>1354</v>
      </c>
      <c r="F111" s="249">
        <f t="shared" ca="1" si="208"/>
        <v>2019</v>
      </c>
      <c r="G111" s="249" t="str">
        <f t="shared" ca="1" si="197"/>
        <v>apr</v>
      </c>
      <c r="H111" s="3"/>
      <c r="I111" s="41">
        <f t="shared" si="198"/>
        <v>0</v>
      </c>
      <c r="J111" s="259"/>
      <c r="K111" s="2"/>
      <c r="L111" s="73">
        <f t="shared" si="199"/>
        <v>0</v>
      </c>
      <c r="M111" s="259"/>
      <c r="N111" s="2"/>
      <c r="O111" s="73">
        <f t="shared" si="200"/>
        <v>0</v>
      </c>
      <c r="P111" s="259"/>
      <c r="Q111" s="2"/>
      <c r="R111" s="2"/>
      <c r="S111" s="2"/>
      <c r="T111" s="2"/>
      <c r="U111" s="2"/>
      <c r="V111" s="2"/>
      <c r="Y111" s="164">
        <f t="shared" si="188"/>
        <v>0</v>
      </c>
      <c r="Z111" s="164">
        <f t="shared" si="183"/>
        <v>0</v>
      </c>
      <c r="AA111" s="164">
        <f t="shared" si="189"/>
        <v>0</v>
      </c>
      <c r="AB111" s="164">
        <f t="shared" si="190"/>
        <v>0</v>
      </c>
      <c r="AD111" s="164">
        <f>IF(AND('Indata byggnad och BBR krav'!$C$17&gt;0,$D$107="Mäts separat"),(IF($J$104=$AD$101,I114,0)+IF($M$104=$AD$101,L114,0)+IF($P$104=$AD$101,O114,0)),0)</f>
        <v>0</v>
      </c>
      <c r="AF111" s="164">
        <f t="shared" si="191"/>
        <v>0</v>
      </c>
      <c r="AG111" s="164">
        <f t="shared" si="184"/>
        <v>0</v>
      </c>
      <c r="AH111" s="164">
        <f t="shared" si="185"/>
        <v>0</v>
      </c>
      <c r="AI111" s="163">
        <f t="shared" si="192"/>
        <v>0</v>
      </c>
      <c r="AJ111" s="197">
        <f t="shared" si="193"/>
        <v>0</v>
      </c>
      <c r="AK111" s="237" t="str">
        <f t="shared" si="194"/>
        <v/>
      </c>
      <c r="AL111" s="237" t="str">
        <f t="shared" si="195"/>
        <v/>
      </c>
      <c r="AM111" s="35" t="str">
        <f t="shared" ca="1" si="186"/>
        <v>jul</v>
      </c>
      <c r="AN111" s="177">
        <f t="shared" ca="1" si="196"/>
        <v>3.0960000000000001E-2</v>
      </c>
      <c r="AO111" s="134">
        <f t="shared" si="187"/>
        <v>0</v>
      </c>
      <c r="BB111" s="52">
        <f t="shared" si="202"/>
        <v>0</v>
      </c>
      <c r="BC111" s="52">
        <f t="shared" si="203"/>
        <v>0</v>
      </c>
      <c r="BD111" s="52">
        <f t="shared" si="204"/>
        <v>0</v>
      </c>
      <c r="BE111" s="30">
        <f t="shared" si="209"/>
        <v>0</v>
      </c>
      <c r="BL111" s="30">
        <f t="shared" si="205"/>
        <v>0</v>
      </c>
      <c r="BM111" s="30">
        <f t="shared" si="206"/>
        <v>0</v>
      </c>
      <c r="BN111" s="30">
        <f t="shared" si="207"/>
        <v>0</v>
      </c>
      <c r="BO111" s="30">
        <f t="shared" si="210"/>
        <v>0</v>
      </c>
      <c r="BT111" s="27"/>
      <c r="BU111" s="27"/>
      <c r="BV111" s="27"/>
      <c r="BW111" s="27"/>
      <c r="BX111" s="27"/>
      <c r="BY111" s="27"/>
    </row>
    <row r="112" spans="2:77" ht="16.5" customHeight="1" x14ac:dyDescent="0.25">
      <c r="C112" s="357"/>
      <c r="D112" s="358"/>
      <c r="F112" s="249">
        <f t="shared" ca="1" si="208"/>
        <v>2019</v>
      </c>
      <c r="G112" s="249" t="str">
        <f t="shared" ca="1" si="197"/>
        <v>maj</v>
      </c>
      <c r="H112" s="3"/>
      <c r="I112" s="41">
        <f t="shared" si="198"/>
        <v>0</v>
      </c>
      <c r="J112" s="259"/>
      <c r="K112" s="2"/>
      <c r="L112" s="73">
        <f t="shared" si="199"/>
        <v>0</v>
      </c>
      <c r="M112" s="259"/>
      <c r="N112" s="2"/>
      <c r="O112" s="73">
        <f t="shared" si="200"/>
        <v>0</v>
      </c>
      <c r="P112" s="259"/>
      <c r="Q112" s="2"/>
      <c r="R112" s="2"/>
      <c r="S112" s="2"/>
      <c r="T112" s="2"/>
      <c r="U112" s="2"/>
      <c r="V112" s="2"/>
      <c r="Y112" s="164">
        <f t="shared" si="188"/>
        <v>0</v>
      </c>
      <c r="Z112" s="164">
        <f t="shared" si="183"/>
        <v>0</v>
      </c>
      <c r="AA112" s="164">
        <f t="shared" si="189"/>
        <v>0</v>
      </c>
      <c r="AB112" s="164">
        <f t="shared" si="190"/>
        <v>0</v>
      </c>
      <c r="AD112" s="164">
        <f>IF(AND('Indata byggnad och BBR krav'!$C$17&gt;0,$D$107="Mäts separat"),(IF($J$104=$AD$101,I115,0)+IF($M$104=$AD$101,L115,0)+IF($P$104=$AD$101,O115,0)),0)</f>
        <v>0</v>
      </c>
      <c r="AF112" s="164">
        <f t="shared" si="191"/>
        <v>0</v>
      </c>
      <c r="AG112" s="164">
        <f t="shared" si="184"/>
        <v>0</v>
      </c>
      <c r="AH112" s="164">
        <f t="shared" si="185"/>
        <v>0</v>
      </c>
      <c r="AI112" s="163">
        <f t="shared" si="192"/>
        <v>0</v>
      </c>
      <c r="AJ112" s="197">
        <f t="shared" si="193"/>
        <v>0</v>
      </c>
      <c r="AK112" s="237" t="str">
        <f t="shared" si="194"/>
        <v/>
      </c>
      <c r="AL112" s="237" t="str">
        <f t="shared" si="195"/>
        <v/>
      </c>
      <c r="AM112" s="35" t="str">
        <f t="shared" ca="1" si="186"/>
        <v>aug</v>
      </c>
      <c r="AN112" s="177">
        <f t="shared" ca="1" si="196"/>
        <v>3.347E-2</v>
      </c>
      <c r="AO112" s="134">
        <f t="shared" si="187"/>
        <v>0</v>
      </c>
      <c r="BB112" s="52">
        <f t="shared" si="202"/>
        <v>0</v>
      </c>
      <c r="BC112" s="52">
        <f t="shared" si="203"/>
        <v>0</v>
      </c>
      <c r="BD112" s="52">
        <f t="shared" si="204"/>
        <v>0</v>
      </c>
      <c r="BE112" s="30">
        <f t="shared" si="209"/>
        <v>0</v>
      </c>
      <c r="BL112" s="30">
        <f t="shared" si="205"/>
        <v>0</v>
      </c>
      <c r="BM112" s="30">
        <f t="shared" si="206"/>
        <v>0</v>
      </c>
      <c r="BN112" s="30">
        <f t="shared" si="207"/>
        <v>0</v>
      </c>
      <c r="BO112" s="30">
        <f t="shared" si="210"/>
        <v>0</v>
      </c>
      <c r="BT112" s="27"/>
      <c r="BU112" s="27"/>
      <c r="BV112" s="27"/>
      <c r="BW112" s="27"/>
      <c r="BX112" s="27"/>
      <c r="BY112" s="27"/>
    </row>
    <row r="113" spans="2:77" ht="16.5" customHeight="1" x14ac:dyDescent="0.25">
      <c r="C113" s="359"/>
      <c r="D113" s="360"/>
      <c r="F113" s="249">
        <f t="shared" ca="1" si="208"/>
        <v>2019</v>
      </c>
      <c r="G113" s="249" t="str">
        <f t="shared" ca="1" si="197"/>
        <v xml:space="preserve">jun </v>
      </c>
      <c r="H113" s="3"/>
      <c r="I113" s="41">
        <f t="shared" si="198"/>
        <v>0</v>
      </c>
      <c r="J113" s="259"/>
      <c r="K113" s="2"/>
      <c r="L113" s="73">
        <f t="shared" si="199"/>
        <v>0</v>
      </c>
      <c r="M113" s="259"/>
      <c r="N113" s="2"/>
      <c r="O113" s="73">
        <f t="shared" si="200"/>
        <v>0</v>
      </c>
      <c r="P113" s="259"/>
      <c r="Q113" s="2"/>
      <c r="R113" s="2"/>
      <c r="S113" s="2"/>
      <c r="T113" s="2"/>
      <c r="U113" s="2"/>
      <c r="V113" s="2"/>
      <c r="Y113" s="164">
        <f t="shared" si="188"/>
        <v>0</v>
      </c>
      <c r="Z113" s="164">
        <f t="shared" si="183"/>
        <v>0</v>
      </c>
      <c r="AA113" s="164">
        <f t="shared" si="189"/>
        <v>0</v>
      </c>
      <c r="AB113" s="164">
        <f t="shared" si="190"/>
        <v>0</v>
      </c>
      <c r="AD113" s="164">
        <f>IF(AND('Indata byggnad och BBR krav'!$C$17&gt;0,$D$107="Mäts separat"),(IF($J$104=$AD$101,I116,0)+IF($M$104=$AD$101,L116,0)+IF($P$104=$AD$101,O116,0)),0)</f>
        <v>0</v>
      </c>
      <c r="AF113" s="164">
        <f t="shared" si="191"/>
        <v>0</v>
      </c>
      <c r="AG113" s="164">
        <f t="shared" si="184"/>
        <v>0</v>
      </c>
      <c r="AH113" s="164">
        <f t="shared" si="185"/>
        <v>0</v>
      </c>
      <c r="AI113" s="163">
        <f t="shared" si="192"/>
        <v>0</v>
      </c>
      <c r="AJ113" s="197">
        <f t="shared" si="193"/>
        <v>0</v>
      </c>
      <c r="AK113" s="237" t="str">
        <f t="shared" si="194"/>
        <v/>
      </c>
      <c r="AL113" s="237" t="str">
        <f t="shared" si="195"/>
        <v/>
      </c>
      <c r="AM113" s="35" t="str">
        <f t="shared" ca="1" si="186"/>
        <v>sept</v>
      </c>
      <c r="AN113" s="177">
        <f t="shared" ca="1" si="196"/>
        <v>5.4630000000000005E-2</v>
      </c>
      <c r="AO113" s="134">
        <f t="shared" si="187"/>
        <v>0</v>
      </c>
      <c r="BB113" s="52">
        <f t="shared" si="202"/>
        <v>0</v>
      </c>
      <c r="BC113" s="52">
        <f t="shared" si="203"/>
        <v>0</v>
      </c>
      <c r="BD113" s="52">
        <f t="shared" si="204"/>
        <v>0</v>
      </c>
      <c r="BE113" s="30">
        <f t="shared" si="209"/>
        <v>0</v>
      </c>
      <c r="BL113" s="30">
        <f t="shared" si="205"/>
        <v>0</v>
      </c>
      <c r="BM113" s="30">
        <f t="shared" si="206"/>
        <v>0</v>
      </c>
      <c r="BN113" s="30">
        <f t="shared" si="207"/>
        <v>0</v>
      </c>
      <c r="BO113" s="30">
        <f t="shared" si="210"/>
        <v>0</v>
      </c>
      <c r="BT113" s="27"/>
      <c r="BU113" s="27"/>
      <c r="BV113" s="27"/>
      <c r="BW113" s="27"/>
      <c r="BX113" s="27"/>
      <c r="BY113" s="27"/>
    </row>
    <row r="114" spans="2:77" ht="16.5" customHeight="1" x14ac:dyDescent="0.25">
      <c r="C114" s="361"/>
      <c r="D114" s="362"/>
      <c r="F114" s="249">
        <f t="shared" ca="1" si="208"/>
        <v>2019</v>
      </c>
      <c r="G114" s="249" t="str">
        <f t="shared" ca="1" si="197"/>
        <v>jul</v>
      </c>
      <c r="H114" s="3"/>
      <c r="I114" s="41">
        <f t="shared" si="198"/>
        <v>0</v>
      </c>
      <c r="J114" s="259"/>
      <c r="K114" s="2"/>
      <c r="L114" s="73">
        <f t="shared" si="199"/>
        <v>0</v>
      </c>
      <c r="M114" s="259"/>
      <c r="N114" s="2"/>
      <c r="O114" s="73">
        <f t="shared" si="200"/>
        <v>0</v>
      </c>
      <c r="P114" s="259"/>
      <c r="Q114" s="2"/>
      <c r="R114" s="2"/>
      <c r="S114" s="2"/>
      <c r="T114" s="2"/>
      <c r="U114" s="2"/>
      <c r="V114" s="2"/>
      <c r="Y114" s="164">
        <f t="shared" si="188"/>
        <v>0</v>
      </c>
      <c r="Z114" s="164">
        <f t="shared" si="183"/>
        <v>0</v>
      </c>
      <c r="AA114" s="164">
        <f t="shared" si="189"/>
        <v>0</v>
      </c>
      <c r="AB114" s="164">
        <f t="shared" si="190"/>
        <v>0</v>
      </c>
      <c r="AD114" s="164">
        <f>IF(AND('Indata byggnad och BBR krav'!$C$17&gt;0,$D$107="Mäts separat"),(IF($J$104=$AD$101,I117,0)+IF($M$104=$AD$101,L117,0)+IF($P$104=$AD$101,O117,0)),0)</f>
        <v>0</v>
      </c>
      <c r="AF114" s="164">
        <f t="shared" si="191"/>
        <v>0</v>
      </c>
      <c r="AG114" s="164">
        <f t="shared" si="184"/>
        <v>0</v>
      </c>
      <c r="AH114" s="164">
        <f t="shared" si="185"/>
        <v>0</v>
      </c>
      <c r="AI114" s="163">
        <f t="shared" si="192"/>
        <v>0</v>
      </c>
      <c r="AJ114" s="197">
        <f t="shared" si="193"/>
        <v>0</v>
      </c>
      <c r="AK114" s="237" t="str">
        <f t="shared" si="194"/>
        <v/>
      </c>
      <c r="AL114" s="237" t="str">
        <f t="shared" si="195"/>
        <v/>
      </c>
      <c r="AM114" s="35" t="str">
        <f t="shared" ca="1" si="186"/>
        <v>okt</v>
      </c>
      <c r="AN114" s="177">
        <f t="shared" ca="1" si="196"/>
        <v>9.0889999999999999E-2</v>
      </c>
      <c r="AO114" s="134">
        <f t="shared" si="187"/>
        <v>0</v>
      </c>
      <c r="BB114" s="52">
        <f t="shared" si="202"/>
        <v>0</v>
      </c>
      <c r="BC114" s="52">
        <f t="shared" si="203"/>
        <v>0</v>
      </c>
      <c r="BD114" s="52">
        <f t="shared" si="204"/>
        <v>0</v>
      </c>
      <c r="BE114" s="30">
        <f t="shared" si="209"/>
        <v>0</v>
      </c>
      <c r="BL114" s="30">
        <f t="shared" si="205"/>
        <v>0</v>
      </c>
      <c r="BM114" s="30">
        <f t="shared" si="206"/>
        <v>0</v>
      </c>
      <c r="BN114" s="30">
        <f t="shared" si="207"/>
        <v>0</v>
      </c>
      <c r="BO114" s="30">
        <f t="shared" si="210"/>
        <v>0</v>
      </c>
      <c r="BT114" s="27"/>
      <c r="BU114" s="27"/>
      <c r="BV114" s="27"/>
      <c r="BW114" s="27"/>
      <c r="BX114" s="27"/>
      <c r="BY114" s="27"/>
    </row>
    <row r="115" spans="2:77" ht="16.5" customHeight="1" x14ac:dyDescent="0.25">
      <c r="F115" s="249">
        <f t="shared" ca="1" si="208"/>
        <v>2019</v>
      </c>
      <c r="G115" s="249" t="str">
        <f t="shared" ca="1" si="197"/>
        <v>aug</v>
      </c>
      <c r="H115" s="3"/>
      <c r="I115" s="41">
        <f t="shared" si="198"/>
        <v>0</v>
      </c>
      <c r="J115" s="259"/>
      <c r="K115" s="2"/>
      <c r="L115" s="73">
        <f t="shared" si="199"/>
        <v>0</v>
      </c>
      <c r="M115" s="259"/>
      <c r="N115" s="2"/>
      <c r="O115" s="73">
        <f t="shared" si="200"/>
        <v>0</v>
      </c>
      <c r="P115" s="259"/>
      <c r="Q115" s="2"/>
      <c r="R115" s="2"/>
      <c r="S115" s="2"/>
      <c r="T115" s="2"/>
      <c r="U115" s="2"/>
      <c r="V115" s="2"/>
      <c r="Y115" s="164">
        <f t="shared" si="188"/>
        <v>0</v>
      </c>
      <c r="Z115" s="164">
        <f t="shared" si="183"/>
        <v>0</v>
      </c>
      <c r="AA115" s="164">
        <f t="shared" si="189"/>
        <v>0</v>
      </c>
      <c r="AB115" s="164">
        <f t="shared" si="190"/>
        <v>0</v>
      </c>
      <c r="AD115" s="164">
        <f>IF(AND('Indata byggnad och BBR krav'!$C$17&gt;0,$D$107="Mäts separat"),(IF($J$104=$AD$101,I118,0)+IF($M$104=$AD$101,L118,0)+IF($P$104=$AD$101,O118,0)),0)</f>
        <v>0</v>
      </c>
      <c r="AF115" s="164">
        <f t="shared" si="191"/>
        <v>0</v>
      </c>
      <c r="AG115" s="164">
        <f t="shared" si="184"/>
        <v>0</v>
      </c>
      <c r="AH115" s="164">
        <f t="shared" si="185"/>
        <v>0</v>
      </c>
      <c r="AI115" s="163">
        <f t="shared" si="192"/>
        <v>0</v>
      </c>
      <c r="AJ115" s="197">
        <f t="shared" si="193"/>
        <v>0</v>
      </c>
      <c r="AK115" s="237" t="str">
        <f t="shared" si="194"/>
        <v/>
      </c>
      <c r="AL115" s="237" t="str">
        <f t="shared" si="195"/>
        <v/>
      </c>
      <c r="AM115" s="35" t="str">
        <f t="shared" ca="1" si="186"/>
        <v>nov</v>
      </c>
      <c r="AN115" s="177">
        <f t="shared" ca="1" si="196"/>
        <v>0.10604000000000001</v>
      </c>
      <c r="AO115" s="134">
        <f t="shared" si="187"/>
        <v>0</v>
      </c>
      <c r="BB115" s="52">
        <f t="shared" si="202"/>
        <v>0</v>
      </c>
      <c r="BC115" s="52">
        <f t="shared" si="203"/>
        <v>0</v>
      </c>
      <c r="BD115" s="52">
        <f t="shared" si="204"/>
        <v>0</v>
      </c>
      <c r="BE115" s="30">
        <f t="shared" si="209"/>
        <v>0</v>
      </c>
      <c r="BL115" s="30">
        <f t="shared" si="205"/>
        <v>0</v>
      </c>
      <c r="BM115" s="30">
        <f t="shared" si="206"/>
        <v>0</v>
      </c>
      <c r="BN115" s="30">
        <f t="shared" si="207"/>
        <v>0</v>
      </c>
      <c r="BO115" s="30">
        <f t="shared" si="210"/>
        <v>0</v>
      </c>
      <c r="BT115" s="27"/>
      <c r="BU115" s="27"/>
      <c r="BV115" s="27"/>
      <c r="BW115" s="27"/>
      <c r="BX115" s="27"/>
      <c r="BY115" s="27"/>
    </row>
    <row r="116" spans="2:77" ht="16.5" customHeight="1" thickBot="1" x14ac:dyDescent="0.3">
      <c r="F116" s="249">
        <f t="shared" ca="1" si="208"/>
        <v>2019</v>
      </c>
      <c r="G116" s="249" t="str">
        <f t="shared" ca="1" si="197"/>
        <v>sept</v>
      </c>
      <c r="H116" s="3"/>
      <c r="I116" s="41">
        <f t="shared" si="198"/>
        <v>0</v>
      </c>
      <c r="J116" s="259"/>
      <c r="K116" s="2"/>
      <c r="L116" s="73">
        <f t="shared" si="199"/>
        <v>0</v>
      </c>
      <c r="M116" s="259"/>
      <c r="N116" s="2"/>
      <c r="O116" s="73">
        <f t="shared" si="200"/>
        <v>0</v>
      </c>
      <c r="P116" s="259"/>
      <c r="Q116" s="2"/>
      <c r="R116" s="2"/>
      <c r="S116" s="2"/>
      <c r="T116" s="2"/>
      <c r="U116" s="2"/>
      <c r="V116" s="2"/>
      <c r="Y116" s="165">
        <f t="shared" si="188"/>
        <v>0</v>
      </c>
      <c r="Z116" s="165">
        <f t="shared" si="183"/>
        <v>0</v>
      </c>
      <c r="AA116" s="165">
        <f t="shared" si="189"/>
        <v>0</v>
      </c>
      <c r="AB116" s="165">
        <f t="shared" si="190"/>
        <v>0</v>
      </c>
      <c r="AD116" s="165">
        <f>IF(AND('Indata byggnad och BBR krav'!$C$17&gt;0,$D$107="Mäts separat"),(IF($J$104=$AD$101,I119,0)+IF($M$104=$AD$101,L119,0)+IF($P$104=$AD$101,O119,0)),0)</f>
        <v>0</v>
      </c>
      <c r="AF116" s="165">
        <f t="shared" si="191"/>
        <v>0</v>
      </c>
      <c r="AG116" s="165">
        <f t="shared" si="184"/>
        <v>0</v>
      </c>
      <c r="AH116" s="165">
        <f t="shared" si="185"/>
        <v>0</v>
      </c>
      <c r="AI116" s="166">
        <f t="shared" si="192"/>
        <v>0</v>
      </c>
      <c r="AJ116" s="198">
        <f t="shared" si="193"/>
        <v>0</v>
      </c>
      <c r="AK116" s="237" t="str">
        <f t="shared" si="194"/>
        <v/>
      </c>
      <c r="AL116" s="237" t="str">
        <f t="shared" si="195"/>
        <v/>
      </c>
      <c r="AM116" s="78" t="str">
        <f t="shared" ca="1" si="186"/>
        <v>dec</v>
      </c>
      <c r="AN116" s="178">
        <f t="shared" ca="1" si="196"/>
        <v>0.11701</v>
      </c>
      <c r="AO116" s="194">
        <f t="shared" si="187"/>
        <v>0</v>
      </c>
      <c r="BB116" s="52">
        <f t="shared" si="202"/>
        <v>0</v>
      </c>
      <c r="BC116" s="52">
        <f t="shared" si="203"/>
        <v>0</v>
      </c>
      <c r="BD116" s="52">
        <f t="shared" si="204"/>
        <v>0</v>
      </c>
      <c r="BE116" s="30">
        <f t="shared" si="209"/>
        <v>0</v>
      </c>
      <c r="BL116" s="30">
        <f t="shared" si="205"/>
        <v>0</v>
      </c>
      <c r="BM116" s="30">
        <f t="shared" si="206"/>
        <v>0</v>
      </c>
      <c r="BN116" s="30">
        <f t="shared" si="207"/>
        <v>0</v>
      </c>
      <c r="BO116" s="30">
        <f t="shared" si="210"/>
        <v>0</v>
      </c>
      <c r="BT116" s="27"/>
      <c r="BU116" s="27"/>
      <c r="BV116" s="27"/>
      <c r="BW116" s="27"/>
      <c r="BX116" s="27"/>
      <c r="BY116" s="27"/>
    </row>
    <row r="117" spans="2:77" ht="16.5" customHeight="1" thickTop="1" thickBot="1" x14ac:dyDescent="0.3">
      <c r="F117" s="249">
        <f t="shared" ca="1" si="208"/>
        <v>2019</v>
      </c>
      <c r="G117" s="249" t="str">
        <f t="shared" ca="1" si="197"/>
        <v>okt</v>
      </c>
      <c r="H117" s="3"/>
      <c r="I117" s="41">
        <f t="shared" si="198"/>
        <v>0</v>
      </c>
      <c r="J117" s="259"/>
      <c r="K117" s="2"/>
      <c r="L117" s="73">
        <f t="shared" si="199"/>
        <v>0</v>
      </c>
      <c r="M117" s="259"/>
      <c r="N117" s="2"/>
      <c r="O117" s="73">
        <f t="shared" si="200"/>
        <v>0</v>
      </c>
      <c r="P117" s="259"/>
      <c r="Q117" s="2"/>
      <c r="R117" s="2"/>
      <c r="S117" s="2"/>
      <c r="T117" s="2"/>
      <c r="U117" s="2"/>
      <c r="V117" s="2"/>
      <c r="X117" s="110" t="s">
        <v>1295</v>
      </c>
      <c r="Y117" s="167">
        <f>SUM(Y105:Y116)</f>
        <v>0</v>
      </c>
      <c r="Z117" s="167">
        <f>SUM(Z105:Z116)</f>
        <v>0</v>
      </c>
      <c r="AA117" s="168">
        <f>SUM(AA105:AA116)</f>
        <v>0</v>
      </c>
      <c r="AB117" s="58">
        <f>Y117+Z117+AA117</f>
        <v>0</v>
      </c>
      <c r="AD117" s="167">
        <f>SUM(AD105:AD116)</f>
        <v>0</v>
      </c>
      <c r="AE117" s="110" t="s">
        <v>1194</v>
      </c>
      <c r="AF117" s="167">
        <f>SUM(AF105:AF116)</f>
        <v>0</v>
      </c>
      <c r="AG117" s="167">
        <f>SUM(AG105:AG116)</f>
        <v>0</v>
      </c>
      <c r="AH117" s="81">
        <f>SUM(AH105:AH116)</f>
        <v>0</v>
      </c>
      <c r="AI117" s="168">
        <f>SUM(AI105:AI116)</f>
        <v>0</v>
      </c>
      <c r="AJ117" s="121">
        <f>SUM(AJ105:AJ116)</f>
        <v>0</v>
      </c>
      <c r="AM117" s="79"/>
      <c r="AN117" s="195">
        <v>1.0000199999999999</v>
      </c>
      <c r="AO117" s="170">
        <f>SUM(AO105:AO116)</f>
        <v>0</v>
      </c>
      <c r="BB117" s="52">
        <f t="shared" si="202"/>
        <v>0</v>
      </c>
      <c r="BC117" s="52">
        <f t="shared" si="203"/>
        <v>0</v>
      </c>
      <c r="BD117" s="52">
        <f t="shared" si="204"/>
        <v>0</v>
      </c>
      <c r="BE117" s="30">
        <f t="shared" si="209"/>
        <v>0</v>
      </c>
      <c r="BL117" s="30">
        <f t="shared" si="205"/>
        <v>0</v>
      </c>
      <c r="BM117" s="30">
        <f t="shared" si="206"/>
        <v>0</v>
      </c>
      <c r="BN117" s="30">
        <f t="shared" si="207"/>
        <v>0</v>
      </c>
      <c r="BO117" s="30">
        <f t="shared" si="210"/>
        <v>0</v>
      </c>
      <c r="BT117" s="27"/>
      <c r="BU117" s="27"/>
      <c r="BV117" s="27"/>
      <c r="BW117" s="27"/>
      <c r="BX117" s="27"/>
      <c r="BY117" s="27"/>
    </row>
    <row r="118" spans="2:77" ht="16.5" customHeight="1" x14ac:dyDescent="0.25">
      <c r="F118" s="249">
        <f t="shared" ca="1" si="208"/>
        <v>2019</v>
      </c>
      <c r="G118" s="249" t="str">
        <f t="shared" ca="1" si="197"/>
        <v>nov</v>
      </c>
      <c r="H118" s="3"/>
      <c r="I118" s="41">
        <f t="shared" si="198"/>
        <v>0</v>
      </c>
      <c r="J118" s="259"/>
      <c r="K118" s="2"/>
      <c r="L118" s="73">
        <f t="shared" si="199"/>
        <v>0</v>
      </c>
      <c r="M118" s="259"/>
      <c r="N118" s="2"/>
      <c r="O118" s="73">
        <f t="shared" si="200"/>
        <v>0</v>
      </c>
      <c r="P118" s="259"/>
      <c r="Q118" s="2"/>
      <c r="R118" s="2"/>
      <c r="S118" s="2"/>
      <c r="T118" s="2"/>
      <c r="U118" s="2"/>
      <c r="V118" s="2"/>
      <c r="X118" s="110" t="s">
        <v>1379</v>
      </c>
      <c r="Y118" s="163">
        <f>IF(Y104="El",Y117-$AA$142,Y117)</f>
        <v>0</v>
      </c>
      <c r="Z118" s="163">
        <f>IF(Z104="El",Z117-$AA$142,Z117)</f>
        <v>0</v>
      </c>
      <c r="AA118" s="173">
        <f>IF(AA104="El",AA117-$AA$142,AA117)</f>
        <v>0</v>
      </c>
      <c r="AB118" s="163">
        <f>Y118+Z118+AA118</f>
        <v>0</v>
      </c>
      <c r="AJ118" s="96"/>
      <c r="BB118" s="52">
        <f t="shared" si="202"/>
        <v>0</v>
      </c>
      <c r="BC118" s="52">
        <f t="shared" si="203"/>
        <v>0</v>
      </c>
      <c r="BD118" s="52">
        <f t="shared" si="204"/>
        <v>0</v>
      </c>
      <c r="BE118" s="30">
        <f t="shared" si="209"/>
        <v>0</v>
      </c>
      <c r="BL118" s="30">
        <f t="shared" si="205"/>
        <v>0</v>
      </c>
      <c r="BM118" s="30">
        <f t="shared" si="206"/>
        <v>0</v>
      </c>
      <c r="BN118" s="30">
        <f t="shared" si="207"/>
        <v>0</v>
      </c>
      <c r="BO118" s="30">
        <f t="shared" si="210"/>
        <v>0</v>
      </c>
      <c r="BT118" s="27"/>
      <c r="BU118" s="27"/>
      <c r="BV118" s="27"/>
      <c r="BW118" s="27"/>
      <c r="BX118" s="27"/>
      <c r="BY118" s="27"/>
    </row>
    <row r="119" spans="2:77" ht="16.5" customHeight="1" x14ac:dyDescent="0.25">
      <c r="F119" s="249">
        <f t="shared" ca="1" si="208"/>
        <v>2019</v>
      </c>
      <c r="G119" s="249" t="str">
        <f t="shared" ca="1" si="197"/>
        <v>dec</v>
      </c>
      <c r="H119" s="3"/>
      <c r="I119" s="41">
        <f t="shared" si="198"/>
        <v>0</v>
      </c>
      <c r="J119" s="259"/>
      <c r="K119" s="2"/>
      <c r="L119" s="73">
        <f t="shared" si="199"/>
        <v>0</v>
      </c>
      <c r="M119" s="259"/>
      <c r="N119" s="2"/>
      <c r="O119" s="73">
        <f t="shared" si="200"/>
        <v>0</v>
      </c>
      <c r="P119" s="259"/>
      <c r="Q119" s="2"/>
      <c r="R119" s="2"/>
      <c r="S119" s="2"/>
      <c r="T119" s="2"/>
      <c r="U119" s="2"/>
      <c r="V119" s="2"/>
      <c r="AE119" s="162"/>
      <c r="BB119" s="52">
        <f t="shared" si="202"/>
        <v>0</v>
      </c>
      <c r="BC119" s="52">
        <f t="shared" si="203"/>
        <v>0</v>
      </c>
      <c r="BD119" s="52">
        <f t="shared" si="204"/>
        <v>0</v>
      </c>
      <c r="BE119" s="30">
        <f t="shared" si="209"/>
        <v>0</v>
      </c>
      <c r="BL119" s="30">
        <f t="shared" si="205"/>
        <v>0</v>
      </c>
      <c r="BM119" s="30">
        <f t="shared" si="206"/>
        <v>0</v>
      </c>
      <c r="BN119" s="30">
        <f t="shared" si="207"/>
        <v>0</v>
      </c>
      <c r="BO119" s="30">
        <f t="shared" si="210"/>
        <v>0</v>
      </c>
    </row>
    <row r="120" spans="2:77" ht="16.5" customHeight="1" thickBot="1" x14ac:dyDescent="0.3">
      <c r="E120" s="20"/>
      <c r="I120" s="51">
        <f>SUM(I108:I119)</f>
        <v>0</v>
      </c>
      <c r="J120" s="51">
        <f>SUM(J108:J119)</f>
        <v>0</v>
      </c>
      <c r="L120" s="51">
        <f>SUM(L108:L119)</f>
        <v>0</v>
      </c>
      <c r="M120" s="51">
        <f>SUM(M108:M119)</f>
        <v>0</v>
      </c>
      <c r="O120" s="51">
        <f>SUM(O108:O119)</f>
        <v>0</v>
      </c>
      <c r="P120" s="51">
        <f>SUM(P108:P119)</f>
        <v>0</v>
      </c>
      <c r="AE120" s="162"/>
      <c r="BB120" s="124">
        <f t="shared" si="202"/>
        <v>0</v>
      </c>
      <c r="BC120" s="124">
        <f t="shared" si="203"/>
        <v>0</v>
      </c>
      <c r="BD120" s="124">
        <f t="shared" si="204"/>
        <v>0</v>
      </c>
      <c r="BE120" s="50">
        <f t="shared" si="209"/>
        <v>0</v>
      </c>
      <c r="BL120" s="50">
        <f t="shared" si="205"/>
        <v>0</v>
      </c>
      <c r="BM120" s="50">
        <f t="shared" si="206"/>
        <v>0</v>
      </c>
      <c r="BN120" s="50">
        <f t="shared" si="207"/>
        <v>0</v>
      </c>
      <c r="BO120" s="50">
        <f t="shared" si="210"/>
        <v>0</v>
      </c>
      <c r="BT120" s="27"/>
      <c r="BU120" s="27"/>
      <c r="BV120" s="27"/>
      <c r="BW120" s="27"/>
      <c r="BX120" s="27"/>
      <c r="BY120" s="27"/>
    </row>
    <row r="121" spans="2:77" ht="16.5" customHeight="1" thickTop="1" thickBot="1" x14ac:dyDescent="0.3">
      <c r="E121" s="20"/>
      <c r="G121" s="241" t="str">
        <f>IF(OR(AK105="Fel i indata",AK106="Fel i indata",AK107="Fel i indata",AK108="Fel i indata",AK109="Fel i indata",AK110="Fel i indata",AK111="Fel i indata",AK112="Fel i indata",AK113="Fel i indata",AK114="Fel i indata",AK115="Fel i indata",AK116="Fel i indata"),"Fel i indata","")</f>
        <v/>
      </c>
      <c r="H121" s="17"/>
      <c r="I121" s="17" t="str">
        <f>IF(G121="Fel i indata","OBS! Se över din indata, energi för fastighetsenergi blir negativ efter avdrag för elgolvvärme om mätvärdena ingår i uppmätt fastighetsenergi!","")</f>
        <v/>
      </c>
      <c r="O121" s="17"/>
      <c r="X121" s="110"/>
      <c r="Y121" s="162"/>
      <c r="Z121" s="162"/>
      <c r="AA121" s="162"/>
      <c r="AC121" s="162"/>
      <c r="AD121" s="162"/>
      <c r="BA121" s="24" t="s">
        <v>1194</v>
      </c>
      <c r="BB121" s="52">
        <f>SUM(BB109:BB120)</f>
        <v>0</v>
      </c>
      <c r="BC121" s="77">
        <f>SUM(BC109:BC120)</f>
        <v>0</v>
      </c>
      <c r="BD121" s="77">
        <f>SUM(BD109:BD120)</f>
        <v>0</v>
      </c>
      <c r="BE121" s="56">
        <f>SUM(BE109:BE120)</f>
        <v>0</v>
      </c>
      <c r="BK121" s="24" t="s">
        <v>1194</v>
      </c>
      <c r="BL121" s="52">
        <f>SUM(BL109:BL120)</f>
        <v>0</v>
      </c>
      <c r="BM121" s="52">
        <f t="shared" ref="BM121:BN121" si="211">SUM(BM109:BM120)</f>
        <v>0</v>
      </c>
      <c r="BN121" s="52">
        <f t="shared" si="211"/>
        <v>0</v>
      </c>
      <c r="BO121" s="56">
        <f>SUM(BO109:BO120)</f>
        <v>0</v>
      </c>
      <c r="BT121" s="27"/>
      <c r="BU121" s="27"/>
      <c r="BV121" s="27"/>
      <c r="BW121" s="27"/>
      <c r="BX121" s="27"/>
      <c r="BY121" s="27"/>
    </row>
    <row r="122" spans="2:77" ht="16.5" customHeight="1" thickBot="1" x14ac:dyDescent="0.3">
      <c r="E122" s="20"/>
      <c r="O122" s="17"/>
      <c r="X122" s="110"/>
      <c r="Y122" s="162"/>
      <c r="Z122" s="162"/>
      <c r="AA122" s="162"/>
      <c r="AC122" s="162"/>
      <c r="AD122" s="162"/>
      <c r="BA122" s="24" t="s">
        <v>1196</v>
      </c>
      <c r="BB122" s="30">
        <f>IF(BB108="El",BB121-$AA$142,BB121)</f>
        <v>0</v>
      </c>
      <c r="BC122" s="30">
        <f>IF(BC108="El",BC121-$AA$142,BC121)</f>
        <v>0</v>
      </c>
      <c r="BD122" s="30">
        <f>IF(BD108="El",BD121-$AA$142,BD121)</f>
        <v>0</v>
      </c>
      <c r="BE122" s="170">
        <f>BB122+BC122+BD122</f>
        <v>0</v>
      </c>
      <c r="BF122" s="27">
        <f>BE122*1000/'Indata byggnad och BBR krav'!$C$16</f>
        <v>0</v>
      </c>
      <c r="BK122" s="186" t="s">
        <v>1393</v>
      </c>
      <c r="BL122" s="30">
        <f>IF(BL108="El",BL121,BL121)</f>
        <v>0</v>
      </c>
      <c r="BM122" s="30">
        <f>IF(BM108="El",BM121,BM121)</f>
        <v>0</v>
      </c>
      <c r="BN122" s="30">
        <f>IF(BN108="El",BN121,BN121)</f>
        <v>0</v>
      </c>
      <c r="BO122" s="170">
        <f>BL122+BM122+BN122</f>
        <v>0</v>
      </c>
      <c r="BP122" s="27">
        <f>BO122*1000/'Indata byggnad och BBR krav'!$C$16</f>
        <v>0</v>
      </c>
      <c r="BT122" s="27"/>
      <c r="BU122" s="27"/>
      <c r="BV122" s="27"/>
      <c r="BW122" s="27"/>
      <c r="BX122" s="27"/>
      <c r="BY122" s="27"/>
    </row>
    <row r="123" spans="2:77" ht="16.5" customHeight="1" thickBot="1" x14ac:dyDescent="0.3">
      <c r="E123" s="20"/>
      <c r="O123" s="17"/>
      <c r="Y123" s="86"/>
      <c r="AE123" s="86"/>
      <c r="AF123" s="86"/>
      <c r="AG123" s="86"/>
      <c r="AH123" s="86"/>
      <c r="AI123" s="86"/>
      <c r="AJ123" s="86"/>
      <c r="AK123" s="86"/>
      <c r="AL123" s="86"/>
      <c r="AM123" s="86"/>
      <c r="AN123" s="86"/>
      <c r="AO123" s="86"/>
      <c r="AP123" s="86"/>
      <c r="AQ123" s="86"/>
      <c r="AR123" s="86"/>
      <c r="AS123" s="86"/>
      <c r="AT123" s="86"/>
      <c r="AU123" s="86"/>
      <c r="AV123" s="86"/>
      <c r="AW123" s="86"/>
      <c r="AX123" s="86"/>
      <c r="BA123" s="24" t="s">
        <v>1298</v>
      </c>
      <c r="BB123" s="30">
        <f>IF(BB122&gt;0,BB122*BB105,0)</f>
        <v>0</v>
      </c>
      <c r="BC123" s="30">
        <f>IF(BC122&gt;0,BC122*BC105,0)</f>
        <v>0</v>
      </c>
      <c r="BD123" s="30">
        <f>IF(BD122&gt;0,BD122*BD105,0)</f>
        <v>0</v>
      </c>
      <c r="BE123" s="63">
        <f>BB123+BC123+BD123</f>
        <v>0</v>
      </c>
      <c r="BK123" s="24" t="s">
        <v>1298</v>
      </c>
      <c r="BL123" s="30">
        <f>IF(BL122&gt;0,BL122*BL105,0)</f>
        <v>0</v>
      </c>
      <c r="BM123" s="30">
        <f>IF(BM122&gt;0,BM122*BM105,0)</f>
        <v>0</v>
      </c>
      <c r="BN123" s="30">
        <f>IF(BN122&gt;0,BN122*BN105,0)</f>
        <v>0</v>
      </c>
      <c r="BO123" s="63">
        <f>BL123+BM123+BN123</f>
        <v>0</v>
      </c>
      <c r="BT123" s="27"/>
      <c r="BU123" s="27"/>
      <c r="BV123" s="27"/>
      <c r="BW123" s="27"/>
      <c r="BX123" s="27"/>
      <c r="BY123" s="27"/>
    </row>
    <row r="124" spans="2:77" ht="16.5" customHeight="1" thickBot="1" x14ac:dyDescent="0.3">
      <c r="E124" s="20"/>
      <c r="O124" s="17"/>
      <c r="X124" s="84"/>
      <c r="AA124" s="80"/>
      <c r="BA124" s="24" t="s">
        <v>1299</v>
      </c>
      <c r="BB124" s="30">
        <f>IF(BB122&gt;0,BB122*BB106,0)</f>
        <v>0</v>
      </c>
      <c r="BC124" s="30">
        <f>IF(BC122&gt;0,BC122*BC106,0)</f>
        <v>0</v>
      </c>
      <c r="BD124" s="30">
        <f>IF(BD122&gt;0,BD122*BD106,0)</f>
        <v>0</v>
      </c>
      <c r="BE124" s="63">
        <f>BB124+BC124+BD124</f>
        <v>0</v>
      </c>
      <c r="BK124" s="24" t="s">
        <v>1299</v>
      </c>
      <c r="BL124" s="30">
        <f>IF(BL122&gt;0,BL122*BL106,0)</f>
        <v>0</v>
      </c>
      <c r="BM124" s="30">
        <f>IF(BM122&gt;0,BM122*BM106,0)</f>
        <v>0</v>
      </c>
      <c r="BN124" s="30">
        <f>IF(BN122&gt;0,BN122*BN106,0)</f>
        <v>0</v>
      </c>
      <c r="BO124" s="63">
        <f>BL124+BM124+BN124</f>
        <v>0</v>
      </c>
      <c r="BT124" s="27"/>
      <c r="BU124" s="27"/>
      <c r="BV124" s="27"/>
      <c r="BW124" s="27"/>
      <c r="BX124" s="27"/>
      <c r="BY124" s="27"/>
    </row>
    <row r="125" spans="2:77" ht="16.5" customHeight="1" x14ac:dyDescent="0.25">
      <c r="E125" s="20"/>
      <c r="X125" s="84"/>
      <c r="Y125" s="86" t="s">
        <v>1082</v>
      </c>
      <c r="BT125" s="27"/>
      <c r="BU125" s="27"/>
      <c r="BV125" s="27"/>
      <c r="BW125" s="27"/>
      <c r="BX125" s="27"/>
      <c r="BY125" s="27"/>
    </row>
    <row r="126" spans="2:77" ht="16.5" customHeight="1" thickBot="1" x14ac:dyDescent="0.3">
      <c r="B126" s="267">
        <v>5</v>
      </c>
      <c r="C126" s="268" t="s">
        <v>1347</v>
      </c>
      <c r="D126" s="269"/>
      <c r="E126" s="269"/>
      <c r="F126" s="257"/>
      <c r="G126" s="257"/>
      <c r="H126" s="257"/>
      <c r="I126" s="257"/>
      <c r="J126" s="256"/>
      <c r="K126" s="256"/>
      <c r="L126" s="256"/>
      <c r="M126" s="257"/>
      <c r="N126" s="257"/>
      <c r="O126" s="257"/>
      <c r="P126" s="257"/>
      <c r="Q126" s="257"/>
      <c r="R126" s="257"/>
      <c r="S126" s="257"/>
      <c r="T126" s="257"/>
      <c r="U126" s="257"/>
      <c r="V126" s="257"/>
      <c r="W126" s="258"/>
      <c r="AK126" s="85" t="s">
        <v>1128</v>
      </c>
      <c r="AN126" s="87"/>
      <c r="BA126" s="24" t="s">
        <v>1399</v>
      </c>
      <c r="BB126" s="32">
        <f>IF(BB108="",0,VLOOKUP(BB108,'Indata byggnad och BBR krav'!$Y$8:$AA$14,3,TRUE))</f>
        <v>2.1999999999999999E-2</v>
      </c>
      <c r="BC126" s="32">
        <f>IF(BC108="",0,VLOOKUP(BC108,'Indata byggnad och BBR krav'!$Y$8:$AA$14,3,TRUE))</f>
        <v>0</v>
      </c>
      <c r="BD126" s="32">
        <f>IF(BD108="",0,VLOOKUP(BD108,'Indata byggnad och BBR krav'!$Y$8:$AA$14,3,TRUE))</f>
        <v>0</v>
      </c>
      <c r="BE126" s="191"/>
      <c r="BK126" s="24" t="s">
        <v>1399</v>
      </c>
      <c r="BL126" s="32">
        <f>IF(BL108="",0,VLOOKUP(BL108,'Indata byggnad och BBR krav'!$Y$8:$AA$14,3,TRUE))</f>
        <v>2.1999999999999999E-2</v>
      </c>
      <c r="BM126" s="32">
        <f>IF(BM108="",0,VLOOKUP(BM108,'Indata byggnad och BBR krav'!$Y$8:$AA$14,3,TRUE))</f>
        <v>0</v>
      </c>
      <c r="BN126" s="32">
        <f>IF(BN108="",0,VLOOKUP(BN108,'Indata byggnad och BBR krav'!$Y$8:$AA$14,3,TRUE))</f>
        <v>0</v>
      </c>
      <c r="BO126" s="191"/>
      <c r="BT126" s="27"/>
      <c r="BU126" s="27"/>
      <c r="BV126" s="27"/>
      <c r="BW126" s="27"/>
      <c r="BX126" s="27"/>
      <c r="BY126" s="27"/>
    </row>
    <row r="127" spans="2:77" ht="16.5" customHeight="1" thickBot="1" x14ac:dyDescent="0.3">
      <c r="X127" s="110"/>
      <c r="Y127" s="86" t="s">
        <v>1189</v>
      </c>
      <c r="Z127" s="86"/>
      <c r="AA127" s="86"/>
      <c r="AB127" s="86"/>
      <c r="AC127" s="86" t="s">
        <v>1190</v>
      </c>
      <c r="AD127" s="86"/>
      <c r="AE127" s="86" t="s">
        <v>1191</v>
      </c>
      <c r="AF127" s="86"/>
      <c r="AG127" s="86" t="s">
        <v>1083</v>
      </c>
      <c r="AJ127" s="86"/>
      <c r="AK127" s="88" t="s">
        <v>1076</v>
      </c>
      <c r="AL127" s="80" t="s">
        <v>1076</v>
      </c>
      <c r="AM127" s="80" t="s">
        <v>1083</v>
      </c>
      <c r="AN127" s="88" t="s">
        <v>1083</v>
      </c>
      <c r="AO127" s="80" t="s">
        <v>17</v>
      </c>
      <c r="AP127" s="80" t="s">
        <v>17</v>
      </c>
      <c r="AQ127" s="80" t="s">
        <v>17</v>
      </c>
      <c r="AR127" s="80" t="s">
        <v>17</v>
      </c>
      <c r="AS127" s="80" t="s">
        <v>16</v>
      </c>
      <c r="AT127" s="80" t="s">
        <v>16</v>
      </c>
      <c r="AU127" s="80" t="s">
        <v>16</v>
      </c>
      <c r="AV127" s="80"/>
      <c r="AW127" s="80"/>
      <c r="AX127" s="80"/>
      <c r="AZ127" s="297"/>
      <c r="BA127" s="298" t="s">
        <v>1408</v>
      </c>
      <c r="BB127" s="280">
        <f>BB122*1000/'Indata byggnad och BBR krav'!$C$40*'Indata byggnad och BBR krav'!$C$38*BB126</f>
        <v>0</v>
      </c>
      <c r="BC127" s="280">
        <f>BC122*1000/'Indata byggnad och BBR krav'!$C$40*'Indata byggnad och BBR krav'!$C$38*BC126</f>
        <v>0</v>
      </c>
      <c r="BD127" s="280">
        <f>BD122*1000/'Indata byggnad och BBR krav'!$C$40*'Indata byggnad och BBR krav'!$C$38*BD126</f>
        <v>0</v>
      </c>
      <c r="BE127" s="281">
        <f>BB127+BC127+BD127</f>
        <v>0</v>
      </c>
      <c r="BJ127" s="297"/>
      <c r="BK127" s="298" t="s">
        <v>1408</v>
      </c>
      <c r="BL127" s="280">
        <f>BL122*1000/'Indata byggnad och BBR krav'!$C$40*'Indata byggnad och BBR krav'!$C$38*BL126</f>
        <v>0</v>
      </c>
      <c r="BM127" s="280">
        <f>BM122*1000/'Indata byggnad och BBR krav'!$C$40*'Indata byggnad och BBR krav'!$C$38*BM126</f>
        <v>0</v>
      </c>
      <c r="BN127" s="280">
        <f>BN122*1000/'Indata byggnad och BBR krav'!$C$40*'Indata byggnad och BBR krav'!$C$38*BN126</f>
        <v>0</v>
      </c>
      <c r="BO127" s="281">
        <f>BL127+BM127+BN127</f>
        <v>0</v>
      </c>
      <c r="BT127" s="27"/>
      <c r="BU127" s="27"/>
      <c r="BV127" s="27"/>
      <c r="BW127" s="27"/>
      <c r="BX127" s="27"/>
      <c r="BY127" s="27"/>
    </row>
    <row r="128" spans="2:77" ht="16.5" customHeight="1" thickBot="1" x14ac:dyDescent="0.3">
      <c r="F128" s="350" t="s">
        <v>1138</v>
      </c>
      <c r="G128" s="350"/>
      <c r="I128" s="60" t="s">
        <v>1047</v>
      </c>
      <c r="J128" s="60"/>
      <c r="L128" s="60" t="s">
        <v>1048</v>
      </c>
      <c r="M128" s="60"/>
      <c r="O128" s="60" t="s">
        <v>1049</v>
      </c>
      <c r="R128" s="60" t="s">
        <v>1192</v>
      </c>
      <c r="U128" s="60" t="s">
        <v>1193</v>
      </c>
      <c r="X128" s="110" t="s">
        <v>1079</v>
      </c>
      <c r="Y128" s="80" t="s">
        <v>1087</v>
      </c>
      <c r="Z128" s="80" t="s">
        <v>1088</v>
      </c>
      <c r="AA128" s="80" t="s">
        <v>1089</v>
      </c>
      <c r="AB128" s="80" t="s">
        <v>1090</v>
      </c>
      <c r="AC128" s="80" t="s">
        <v>1087</v>
      </c>
      <c r="AD128" s="80" t="s">
        <v>1088</v>
      </c>
      <c r="AE128" s="162" t="s">
        <v>1087</v>
      </c>
      <c r="AF128" s="162" t="s">
        <v>1088</v>
      </c>
      <c r="AG128" s="162" t="s">
        <v>1087</v>
      </c>
      <c r="AH128" s="162" t="s">
        <v>1088</v>
      </c>
      <c r="AJ128" s="162"/>
      <c r="AK128" s="80" t="s">
        <v>1087</v>
      </c>
      <c r="AL128" s="80" t="s">
        <v>1088</v>
      </c>
      <c r="AM128" s="80" t="s">
        <v>1087</v>
      </c>
      <c r="AN128" s="80" t="s">
        <v>1088</v>
      </c>
      <c r="AO128" s="80" t="s">
        <v>1087</v>
      </c>
      <c r="AP128" s="80" t="s">
        <v>1088</v>
      </c>
      <c r="AQ128" s="80" t="s">
        <v>1089</v>
      </c>
      <c r="AR128" s="80" t="s">
        <v>1090</v>
      </c>
      <c r="AS128" s="80" t="s">
        <v>1087</v>
      </c>
      <c r="AT128" s="80" t="s">
        <v>1088</v>
      </c>
      <c r="AU128" s="80" t="s">
        <v>1090</v>
      </c>
      <c r="AV128" s="80"/>
      <c r="AW128" s="80"/>
      <c r="AX128" s="80"/>
      <c r="AZ128" s="297"/>
      <c r="BA128" s="299" t="s">
        <v>1448</v>
      </c>
      <c r="BB128" s="280">
        <f>BB122*1000/'Indata byggnad och BBR krav'!$C$16*'Indata byggnad och BBR krav'!$C$38*BB126</f>
        <v>0</v>
      </c>
      <c r="BC128" s="280">
        <f>BC122*1000/'Indata byggnad och BBR krav'!$C$16*'Indata byggnad och BBR krav'!$C$38*BC126</f>
        <v>0</v>
      </c>
      <c r="BD128" s="280">
        <f>BD122*1000/'Indata byggnad och BBR krav'!$C$16*'Indata byggnad och BBR krav'!$C$38*BD126</f>
        <v>0</v>
      </c>
      <c r="BE128" s="281">
        <f t="shared" ref="BE128:BE129" si="212">BB128+BC128+BD128</f>
        <v>0</v>
      </c>
      <c r="BJ128" s="297"/>
      <c r="BK128" s="299" t="s">
        <v>1448</v>
      </c>
      <c r="BL128" s="280">
        <f>BL122*1000/'Indata byggnad och BBR krav'!$C$16*'Indata byggnad och BBR krav'!$C$38*BL126</f>
        <v>0</v>
      </c>
      <c r="BM128" s="280">
        <f>BM122*1000/'Indata byggnad och BBR krav'!$C$16*'Indata byggnad och BBR krav'!$C$38*BM126</f>
        <v>0</v>
      </c>
      <c r="BN128" s="280">
        <f>BN122*1000/'Indata byggnad och BBR krav'!$C$16*'Indata byggnad och BBR krav'!$C$38*BN126</f>
        <v>0</v>
      </c>
      <c r="BO128" s="281">
        <f t="shared" ref="BO128:BO129" si="213">BL128+BM128+BN128</f>
        <v>0</v>
      </c>
      <c r="BT128" s="27"/>
      <c r="BU128" s="27"/>
      <c r="BV128" s="27"/>
      <c r="BW128" s="27"/>
      <c r="BX128" s="27"/>
      <c r="BY128" s="27"/>
    </row>
    <row r="129" spans="3:77" ht="16.5" customHeight="1" thickBot="1" x14ac:dyDescent="0.3">
      <c r="C129" s="33" t="s">
        <v>1050</v>
      </c>
      <c r="D129" s="242">
        <v>0</v>
      </c>
      <c r="F129" s="34" t="s">
        <v>9</v>
      </c>
      <c r="G129" s="249">
        <f>$G$14</f>
        <v>2019</v>
      </c>
      <c r="H129" s="3"/>
      <c r="I129" s="33" t="s">
        <v>1084</v>
      </c>
      <c r="J129" s="242" t="s">
        <v>16</v>
      </c>
      <c r="L129" s="33" t="s">
        <v>1084</v>
      </c>
      <c r="M129" s="242" t="s">
        <v>16</v>
      </c>
      <c r="O129" s="33" t="s">
        <v>1084</v>
      </c>
      <c r="P129" s="242" t="s">
        <v>1076</v>
      </c>
      <c r="R129" s="33" t="s">
        <v>1084</v>
      </c>
      <c r="S129" s="242" t="s">
        <v>17</v>
      </c>
      <c r="U129" s="33" t="s">
        <v>1084</v>
      </c>
      <c r="V129" s="242" t="s">
        <v>16</v>
      </c>
      <c r="Y129" s="35" t="s">
        <v>1188</v>
      </c>
      <c r="Z129" s="35" t="s">
        <v>1188</v>
      </c>
      <c r="AA129" s="35" t="s">
        <v>1188</v>
      </c>
      <c r="AB129" s="35" t="s">
        <v>1188</v>
      </c>
      <c r="AC129" s="35" t="s">
        <v>1188</v>
      </c>
      <c r="AD129" s="35" t="s">
        <v>1188</v>
      </c>
      <c r="AE129" s="35" t="s">
        <v>1188</v>
      </c>
      <c r="AF129" s="35" t="s">
        <v>1188</v>
      </c>
      <c r="AG129" s="35" t="s">
        <v>1188</v>
      </c>
      <c r="AH129" s="35" t="s">
        <v>1188</v>
      </c>
      <c r="AJ129" s="89" t="s">
        <v>1130</v>
      </c>
      <c r="AK129" s="176" t="str">
        <f t="shared" ref="AK129:AU129" si="214">$DW$3</f>
        <v>Före andra mätare</v>
      </c>
      <c r="AL129" s="176" t="str">
        <f t="shared" si="214"/>
        <v>Före andra mätare</v>
      </c>
      <c r="AM129" s="176" t="str">
        <f t="shared" si="214"/>
        <v>Före andra mätare</v>
      </c>
      <c r="AN129" s="176" t="str">
        <f t="shared" si="214"/>
        <v>Före andra mätare</v>
      </c>
      <c r="AO129" s="176" t="str">
        <f t="shared" si="214"/>
        <v>Före andra mätare</v>
      </c>
      <c r="AP129" s="176" t="str">
        <f t="shared" si="214"/>
        <v>Före andra mätare</v>
      </c>
      <c r="AQ129" s="176" t="str">
        <f t="shared" si="214"/>
        <v>Före andra mätare</v>
      </c>
      <c r="AR129" s="176" t="str">
        <f t="shared" si="214"/>
        <v>Före andra mätare</v>
      </c>
      <c r="AS129" s="176" t="str">
        <f t="shared" si="214"/>
        <v>Före andra mätare</v>
      </c>
      <c r="AT129" s="176" t="str">
        <f t="shared" si="214"/>
        <v>Före andra mätare</v>
      </c>
      <c r="AU129" s="176" t="str">
        <f t="shared" si="214"/>
        <v>Före andra mätare</v>
      </c>
      <c r="AV129" s="176"/>
      <c r="AW129" s="176"/>
      <c r="AX129" s="80"/>
      <c r="AZ129" s="297"/>
      <c r="BA129" s="299" t="s">
        <v>1449</v>
      </c>
      <c r="BB129" s="282">
        <f>BB127/50</f>
        <v>0</v>
      </c>
      <c r="BC129" s="282">
        <f t="shared" ref="BC129:BD129" si="215">BC127/50</f>
        <v>0</v>
      </c>
      <c r="BD129" s="282">
        <f t="shared" si="215"/>
        <v>0</v>
      </c>
      <c r="BE129" s="283">
        <f t="shared" si="212"/>
        <v>0</v>
      </c>
      <c r="BJ129" s="297"/>
      <c r="BK129" s="299" t="s">
        <v>1449</v>
      </c>
      <c r="BL129" s="282">
        <f>BL127/50</f>
        <v>0</v>
      </c>
      <c r="BM129" s="282">
        <f t="shared" ref="BM129:BN129" si="216">BM127/50</f>
        <v>0</v>
      </c>
      <c r="BN129" s="282">
        <f t="shared" si="216"/>
        <v>0</v>
      </c>
      <c r="BO129" s="283">
        <f t="shared" si="213"/>
        <v>0</v>
      </c>
      <c r="BT129" s="27"/>
      <c r="BU129" s="27"/>
      <c r="BV129" s="27"/>
      <c r="BW129" s="27"/>
      <c r="BX129" s="27"/>
      <c r="BY129" s="27"/>
    </row>
    <row r="130" spans="3:77" ht="16.5" customHeight="1" x14ac:dyDescent="0.25">
      <c r="C130" s="152" t="s">
        <v>1354</v>
      </c>
      <c r="F130" s="34" t="s">
        <v>19</v>
      </c>
      <c r="G130" s="249" t="str">
        <f>$G$15</f>
        <v>jan</v>
      </c>
      <c r="H130" s="3"/>
      <c r="I130" s="33" t="s">
        <v>1079</v>
      </c>
      <c r="J130" s="242" t="s">
        <v>1088</v>
      </c>
      <c r="L130" s="33" t="s">
        <v>1079</v>
      </c>
      <c r="M130" s="242" t="s">
        <v>1087</v>
      </c>
      <c r="O130" s="33" t="s">
        <v>1079</v>
      </c>
      <c r="P130" s="242" t="s">
        <v>1087</v>
      </c>
      <c r="R130" s="33" t="s">
        <v>1079</v>
      </c>
      <c r="S130" s="242" t="s">
        <v>1089</v>
      </c>
      <c r="U130" s="33" t="s">
        <v>1079</v>
      </c>
      <c r="V130" s="242" t="s">
        <v>1090</v>
      </c>
      <c r="Y130" s="164">
        <f t="shared" ref="Y130:AD141" si="217">AO130</f>
        <v>0</v>
      </c>
      <c r="Z130" s="164">
        <f t="shared" si="217"/>
        <v>0</v>
      </c>
      <c r="AA130" s="164">
        <f t="shared" si="217"/>
        <v>0</v>
      </c>
      <c r="AB130" s="164">
        <f t="shared" si="217"/>
        <v>0</v>
      </c>
      <c r="AC130" s="163">
        <f t="shared" si="217"/>
        <v>0</v>
      </c>
      <c r="AD130" s="163">
        <f t="shared" si="217"/>
        <v>0</v>
      </c>
      <c r="AE130" s="163">
        <f t="shared" ref="AE130:AH141" si="218">AK130</f>
        <v>0</v>
      </c>
      <c r="AF130" s="163">
        <f t="shared" si="218"/>
        <v>0</v>
      </c>
      <c r="AG130" s="163">
        <f t="shared" si="218"/>
        <v>0</v>
      </c>
      <c r="AH130" s="163">
        <f t="shared" si="218"/>
        <v>0</v>
      </c>
      <c r="AJ130" s="162" t="str">
        <f t="shared" ref="AJ130:AJ141" ca="1" si="219">G134</f>
        <v>jan</v>
      </c>
      <c r="AK130" s="164">
        <f t="shared" ref="AK130:AK141" si="220">IF($J$129=AK$127,IF($J$130=AK$128,IF($J$131=AK$129,$I134,0),0),0)+IF($M$129=AK$127,IF($M$130=AK$128,IF($M$131=AK$129,$L134,0),0),0)+IF($P$129=AK$127,IF($P$130=AK$128,IF($P$131=AK$129,$O134,0),0),0)+IF($S$129=AK$127,IF($S$130=AK$128,IF($S$131=AK$129,R134,0),0),0)+IF($V$129=AK$127,IF($V$130=AK$128,IF($V$131=AK$129,U134,0),0),0)</f>
        <v>0</v>
      </c>
      <c r="AL130" s="164">
        <f t="shared" ref="AL130:AU141" si="221">IF($J$129=AL$127,IF($J$130=AL$128,IF($J$131=AL$129,$I134,0),0),0)+IF($M$129=AL$127,IF($M$130=AL$128,IF($M$131=AL$129,$L134,0),0),0)+IF($P$129=AL$127,IF($P$130=AL$128,IF($P$131=AL$129,$O134,0),0),0)+IF($S$129=AL$127,IF($S$130=AL$128,IF($S$131=AL$129,$R134,0),0),0)+IF($V$129=AL$127,IF($V$130=AL$128,IF($V$131=AL$129,$U134,0),0),0)</f>
        <v>0</v>
      </c>
      <c r="AM130" s="164">
        <f t="shared" si="221"/>
        <v>0</v>
      </c>
      <c r="AN130" s="164">
        <f t="shared" si="221"/>
        <v>0</v>
      </c>
      <c r="AO130" s="164">
        <f t="shared" si="221"/>
        <v>0</v>
      </c>
      <c r="AP130" s="164">
        <f t="shared" si="221"/>
        <v>0</v>
      </c>
      <c r="AQ130" s="164">
        <f t="shared" si="221"/>
        <v>0</v>
      </c>
      <c r="AR130" s="164">
        <f t="shared" si="221"/>
        <v>0</v>
      </c>
      <c r="AS130" s="164">
        <f t="shared" si="221"/>
        <v>0</v>
      </c>
      <c r="AT130" s="164">
        <f t="shared" si="221"/>
        <v>0</v>
      </c>
      <c r="AU130" s="164">
        <f t="shared" si="221"/>
        <v>0</v>
      </c>
      <c r="AV130" s="175"/>
      <c r="AW130" s="175"/>
      <c r="AX130" s="175"/>
      <c r="BT130" s="27"/>
      <c r="BU130" s="27"/>
      <c r="BV130" s="27"/>
      <c r="BW130" s="27"/>
      <c r="BX130" s="27"/>
      <c r="BY130" s="27"/>
    </row>
    <row r="131" spans="3:77" ht="16.5" customHeight="1" x14ac:dyDescent="0.25">
      <c r="C131" s="351"/>
      <c r="D131" s="352"/>
      <c r="F131" s="60"/>
      <c r="G131" s="60"/>
      <c r="H131" s="3"/>
      <c r="I131" s="34" t="s">
        <v>1140</v>
      </c>
      <c r="J131" s="247" t="s">
        <v>1141</v>
      </c>
      <c r="L131" s="34" t="s">
        <v>1140</v>
      </c>
      <c r="M131" s="247" t="s">
        <v>1141</v>
      </c>
      <c r="O131" s="34" t="s">
        <v>1140</v>
      </c>
      <c r="P131" s="247" t="s">
        <v>1141</v>
      </c>
      <c r="R131" s="34" t="s">
        <v>1140</v>
      </c>
      <c r="S131" s="247" t="s">
        <v>1141</v>
      </c>
      <c r="U131" s="34" t="s">
        <v>1140</v>
      </c>
      <c r="V131" s="242" t="s">
        <v>1141</v>
      </c>
      <c r="Y131" s="164">
        <f t="shared" si="217"/>
        <v>0</v>
      </c>
      <c r="Z131" s="164">
        <f t="shared" si="217"/>
        <v>0</v>
      </c>
      <c r="AA131" s="164">
        <f t="shared" si="217"/>
        <v>0</v>
      </c>
      <c r="AB131" s="164">
        <f t="shared" si="217"/>
        <v>0</v>
      </c>
      <c r="AC131" s="163">
        <f t="shared" si="217"/>
        <v>0</v>
      </c>
      <c r="AD131" s="163">
        <f t="shared" si="217"/>
        <v>0</v>
      </c>
      <c r="AE131" s="163">
        <f t="shared" si="218"/>
        <v>0</v>
      </c>
      <c r="AF131" s="163">
        <f t="shared" si="218"/>
        <v>0</v>
      </c>
      <c r="AG131" s="163">
        <f t="shared" si="218"/>
        <v>0</v>
      </c>
      <c r="AH131" s="163">
        <f t="shared" si="218"/>
        <v>0</v>
      </c>
      <c r="AJ131" s="162" t="str">
        <f t="shared" ca="1" si="219"/>
        <v>feb</v>
      </c>
      <c r="AK131" s="164">
        <f t="shared" si="220"/>
        <v>0</v>
      </c>
      <c r="AL131" s="164">
        <f t="shared" si="221"/>
        <v>0</v>
      </c>
      <c r="AM131" s="164">
        <f t="shared" si="221"/>
        <v>0</v>
      </c>
      <c r="AN131" s="164">
        <f t="shared" si="221"/>
        <v>0</v>
      </c>
      <c r="AO131" s="164">
        <f t="shared" si="221"/>
        <v>0</v>
      </c>
      <c r="AP131" s="164">
        <f t="shared" si="221"/>
        <v>0</v>
      </c>
      <c r="AQ131" s="164">
        <f t="shared" si="221"/>
        <v>0</v>
      </c>
      <c r="AR131" s="164">
        <f t="shared" si="221"/>
        <v>0</v>
      </c>
      <c r="AS131" s="164">
        <f t="shared" si="221"/>
        <v>0</v>
      </c>
      <c r="AT131" s="164">
        <f t="shared" si="221"/>
        <v>0</v>
      </c>
      <c r="AU131" s="164">
        <f t="shared" si="221"/>
        <v>0</v>
      </c>
      <c r="AV131" s="175"/>
      <c r="AW131" s="175"/>
      <c r="AX131" s="175"/>
      <c r="BT131" s="27"/>
      <c r="BU131" s="27"/>
      <c r="BV131" s="27"/>
      <c r="BW131" s="27"/>
      <c r="BX131" s="27"/>
      <c r="BY131" s="27"/>
    </row>
    <row r="132" spans="3:77" ht="16.5" customHeight="1" x14ac:dyDescent="0.25">
      <c r="C132" s="353"/>
      <c r="D132" s="354"/>
      <c r="G132" s="3"/>
      <c r="H132" s="3"/>
      <c r="I132" s="64"/>
      <c r="J132" s="40" t="s">
        <v>1132</v>
      </c>
      <c r="L132" s="64"/>
      <c r="M132" s="40" t="s">
        <v>1132</v>
      </c>
      <c r="O132" s="64"/>
      <c r="P132" s="40" t="s">
        <v>1132</v>
      </c>
      <c r="R132" s="64"/>
      <c r="S132" s="40" t="s">
        <v>1132</v>
      </c>
      <c r="U132" s="64"/>
      <c r="V132" s="40" t="s">
        <v>1132</v>
      </c>
      <c r="Y132" s="164">
        <f t="shared" si="217"/>
        <v>0</v>
      </c>
      <c r="Z132" s="164">
        <f t="shared" si="217"/>
        <v>0</v>
      </c>
      <c r="AA132" s="164">
        <f t="shared" si="217"/>
        <v>0</v>
      </c>
      <c r="AB132" s="164">
        <f t="shared" si="217"/>
        <v>0</v>
      </c>
      <c r="AC132" s="163">
        <f t="shared" si="217"/>
        <v>0</v>
      </c>
      <c r="AD132" s="163">
        <f t="shared" si="217"/>
        <v>0</v>
      </c>
      <c r="AE132" s="163">
        <f t="shared" si="218"/>
        <v>0</v>
      </c>
      <c r="AF132" s="163">
        <f t="shared" si="218"/>
        <v>0</v>
      </c>
      <c r="AG132" s="163">
        <f t="shared" si="218"/>
        <v>0</v>
      </c>
      <c r="AH132" s="163">
        <f t="shared" si="218"/>
        <v>0</v>
      </c>
      <c r="AJ132" s="162" t="str">
        <f t="shared" ca="1" si="219"/>
        <v>mars</v>
      </c>
      <c r="AK132" s="164">
        <f t="shared" si="220"/>
        <v>0</v>
      </c>
      <c r="AL132" s="164">
        <f t="shared" si="221"/>
        <v>0</v>
      </c>
      <c r="AM132" s="164">
        <f t="shared" si="221"/>
        <v>0</v>
      </c>
      <c r="AN132" s="164">
        <f t="shared" si="221"/>
        <v>0</v>
      </c>
      <c r="AO132" s="164">
        <f t="shared" si="221"/>
        <v>0</v>
      </c>
      <c r="AP132" s="164">
        <f t="shared" si="221"/>
        <v>0</v>
      </c>
      <c r="AQ132" s="164">
        <f t="shared" si="221"/>
        <v>0</v>
      </c>
      <c r="AR132" s="164">
        <f t="shared" si="221"/>
        <v>0</v>
      </c>
      <c r="AS132" s="164">
        <f t="shared" si="221"/>
        <v>0</v>
      </c>
      <c r="AT132" s="164">
        <f t="shared" si="221"/>
        <v>0</v>
      </c>
      <c r="AU132" s="164">
        <f t="shared" si="221"/>
        <v>0</v>
      </c>
      <c r="AV132" s="175"/>
      <c r="AW132" s="175"/>
      <c r="AX132" s="175"/>
      <c r="BT132" s="27"/>
      <c r="BU132" s="27"/>
      <c r="BV132" s="27"/>
      <c r="BW132" s="27"/>
      <c r="BX132" s="27"/>
      <c r="BY132" s="27"/>
    </row>
    <row r="133" spans="3:77" ht="16.5" customHeight="1" x14ac:dyDescent="0.25">
      <c r="C133" s="355"/>
      <c r="D133" s="356"/>
      <c r="F133" s="262" t="s">
        <v>1044</v>
      </c>
      <c r="G133" s="262" t="s">
        <v>1045</v>
      </c>
      <c r="H133" s="3"/>
      <c r="I133" s="23" t="s">
        <v>1075</v>
      </c>
      <c r="J133" s="262" t="s">
        <v>1086</v>
      </c>
      <c r="L133" s="23" t="s">
        <v>1075</v>
      </c>
      <c r="M133" s="262" t="s">
        <v>1086</v>
      </c>
      <c r="O133" s="23" t="s">
        <v>1075</v>
      </c>
      <c r="P133" s="262" t="s">
        <v>1086</v>
      </c>
      <c r="R133" s="23" t="s">
        <v>1075</v>
      </c>
      <c r="S133" s="262" t="s">
        <v>1086</v>
      </c>
      <c r="U133" s="23" t="s">
        <v>1075</v>
      </c>
      <c r="V133" s="262" t="s">
        <v>1086</v>
      </c>
      <c r="Y133" s="164">
        <f t="shared" si="217"/>
        <v>0</v>
      </c>
      <c r="Z133" s="164">
        <f t="shared" si="217"/>
        <v>0</v>
      </c>
      <c r="AA133" s="164">
        <f t="shared" si="217"/>
        <v>0</v>
      </c>
      <c r="AB133" s="164">
        <f t="shared" si="217"/>
        <v>0</v>
      </c>
      <c r="AC133" s="163">
        <f t="shared" si="217"/>
        <v>0</v>
      </c>
      <c r="AD133" s="163">
        <f t="shared" si="217"/>
        <v>0</v>
      </c>
      <c r="AE133" s="163">
        <f t="shared" si="218"/>
        <v>0</v>
      </c>
      <c r="AF133" s="163">
        <f t="shared" si="218"/>
        <v>0</v>
      </c>
      <c r="AG133" s="163">
        <f t="shared" si="218"/>
        <v>0</v>
      </c>
      <c r="AH133" s="163">
        <f t="shared" si="218"/>
        <v>0</v>
      </c>
      <c r="AJ133" s="162" t="str">
        <f t="shared" ca="1" si="219"/>
        <v>apr</v>
      </c>
      <c r="AK133" s="164">
        <f t="shared" si="220"/>
        <v>0</v>
      </c>
      <c r="AL133" s="164">
        <f t="shared" si="221"/>
        <v>0</v>
      </c>
      <c r="AM133" s="164">
        <f t="shared" si="221"/>
        <v>0</v>
      </c>
      <c r="AN133" s="164">
        <f t="shared" si="221"/>
        <v>0</v>
      </c>
      <c r="AO133" s="164">
        <f t="shared" si="221"/>
        <v>0</v>
      </c>
      <c r="AP133" s="164">
        <f t="shared" si="221"/>
        <v>0</v>
      </c>
      <c r="AQ133" s="164">
        <f t="shared" si="221"/>
        <v>0</v>
      </c>
      <c r="AR133" s="164">
        <f t="shared" si="221"/>
        <v>0</v>
      </c>
      <c r="AS133" s="164">
        <f t="shared" si="221"/>
        <v>0</v>
      </c>
      <c r="AT133" s="164">
        <f t="shared" si="221"/>
        <v>0</v>
      </c>
      <c r="AU133" s="164">
        <f t="shared" si="221"/>
        <v>0</v>
      </c>
      <c r="AV133" s="175"/>
      <c r="AW133" s="175"/>
      <c r="AX133" s="175"/>
      <c r="BT133" s="27"/>
      <c r="BU133" s="27"/>
      <c r="BV133" s="27"/>
      <c r="BW133" s="27"/>
      <c r="BX133" s="27"/>
      <c r="BY133" s="27"/>
    </row>
    <row r="134" spans="3:77" ht="16.5" customHeight="1" x14ac:dyDescent="0.25">
      <c r="E134" s="20"/>
      <c r="F134" s="249">
        <f>G129</f>
        <v>2019</v>
      </c>
      <c r="G134" s="249" t="str">
        <f t="shared" ref="G134:G145" ca="1" si="222">OFFSET($EI$2,$EI$46+ROW(F134)-ROW($F$134),0)</f>
        <v>jan</v>
      </c>
      <c r="H134" s="3"/>
      <c r="I134" s="41">
        <f t="shared" ref="I134:I145" si="223">IF($D$129&gt;0,J134,0)</f>
        <v>0</v>
      </c>
      <c r="J134" s="259"/>
      <c r="L134" s="41">
        <f t="shared" ref="L134:L145" si="224">IF($D$129&gt;1,M134,0)</f>
        <v>0</v>
      </c>
      <c r="M134" s="259"/>
      <c r="O134" s="41">
        <f t="shared" ref="O134:O145" si="225">IF($D$129&gt;2,P134,0)</f>
        <v>0</v>
      </c>
      <c r="P134" s="259"/>
      <c r="R134" s="41">
        <f t="shared" ref="R134:R145" si="226">IF($D$129&gt;3,S134,0)</f>
        <v>0</v>
      </c>
      <c r="S134" s="259"/>
      <c r="U134" s="41">
        <f t="shared" ref="U134:U145" si="227">IF($D$129&gt;4,V134,0)</f>
        <v>0</v>
      </c>
      <c r="V134" s="259"/>
      <c r="Y134" s="164">
        <f t="shared" si="217"/>
        <v>0</v>
      </c>
      <c r="Z134" s="164">
        <f t="shared" si="217"/>
        <v>0</v>
      </c>
      <c r="AA134" s="164">
        <f t="shared" si="217"/>
        <v>0</v>
      </c>
      <c r="AB134" s="164">
        <f t="shared" si="217"/>
        <v>0</v>
      </c>
      <c r="AC134" s="163">
        <f t="shared" si="217"/>
        <v>0</v>
      </c>
      <c r="AD134" s="163">
        <f t="shared" si="217"/>
        <v>0</v>
      </c>
      <c r="AE134" s="163">
        <f t="shared" si="218"/>
        <v>0</v>
      </c>
      <c r="AF134" s="163">
        <f t="shared" si="218"/>
        <v>0</v>
      </c>
      <c r="AG134" s="163">
        <f t="shared" si="218"/>
        <v>0</v>
      </c>
      <c r="AH134" s="163">
        <f t="shared" si="218"/>
        <v>0</v>
      </c>
      <c r="AJ134" s="162" t="str">
        <f t="shared" ca="1" si="219"/>
        <v>maj</v>
      </c>
      <c r="AK134" s="164">
        <f t="shared" si="220"/>
        <v>0</v>
      </c>
      <c r="AL134" s="164">
        <f t="shared" si="221"/>
        <v>0</v>
      </c>
      <c r="AM134" s="164">
        <f t="shared" si="221"/>
        <v>0</v>
      </c>
      <c r="AN134" s="164">
        <f t="shared" si="221"/>
        <v>0</v>
      </c>
      <c r="AO134" s="164">
        <f t="shared" si="221"/>
        <v>0</v>
      </c>
      <c r="AP134" s="164">
        <f t="shared" si="221"/>
        <v>0</v>
      </c>
      <c r="AQ134" s="164">
        <f t="shared" si="221"/>
        <v>0</v>
      </c>
      <c r="AR134" s="164">
        <f t="shared" si="221"/>
        <v>0</v>
      </c>
      <c r="AS134" s="164">
        <f t="shared" si="221"/>
        <v>0</v>
      </c>
      <c r="AT134" s="164">
        <f t="shared" si="221"/>
        <v>0</v>
      </c>
      <c r="AU134" s="164">
        <f t="shared" si="221"/>
        <v>0</v>
      </c>
      <c r="AV134" s="175"/>
      <c r="AW134" s="175"/>
      <c r="AX134" s="175"/>
      <c r="BT134" s="27"/>
      <c r="BU134" s="27"/>
      <c r="BV134" s="27"/>
      <c r="BW134" s="27"/>
      <c r="BX134" s="27"/>
      <c r="BY134" s="27"/>
    </row>
    <row r="135" spans="3:77" ht="16.5" customHeight="1" x14ac:dyDescent="0.25">
      <c r="F135" s="249">
        <f ca="1">IF(G135="jan",F134+1,F134)</f>
        <v>2019</v>
      </c>
      <c r="G135" s="249" t="str">
        <f t="shared" ca="1" si="222"/>
        <v>feb</v>
      </c>
      <c r="H135" s="3"/>
      <c r="I135" s="41">
        <f t="shared" si="223"/>
        <v>0</v>
      </c>
      <c r="J135" s="259"/>
      <c r="L135" s="41">
        <f t="shared" si="224"/>
        <v>0</v>
      </c>
      <c r="M135" s="259"/>
      <c r="O135" s="41">
        <f t="shared" si="225"/>
        <v>0</v>
      </c>
      <c r="P135" s="259"/>
      <c r="R135" s="41">
        <f t="shared" si="226"/>
        <v>0</v>
      </c>
      <c r="S135" s="259"/>
      <c r="U135" s="41">
        <f t="shared" si="227"/>
        <v>0</v>
      </c>
      <c r="V135" s="259"/>
      <c r="Y135" s="164">
        <f t="shared" si="217"/>
        <v>0</v>
      </c>
      <c r="Z135" s="164">
        <f t="shared" si="217"/>
        <v>0</v>
      </c>
      <c r="AA135" s="164">
        <f t="shared" si="217"/>
        <v>0</v>
      </c>
      <c r="AB135" s="164">
        <f t="shared" si="217"/>
        <v>0</v>
      </c>
      <c r="AC135" s="163">
        <f t="shared" si="217"/>
        <v>0</v>
      </c>
      <c r="AD135" s="163">
        <f t="shared" si="217"/>
        <v>0</v>
      </c>
      <c r="AE135" s="163">
        <f t="shared" si="218"/>
        <v>0</v>
      </c>
      <c r="AF135" s="163">
        <f t="shared" si="218"/>
        <v>0</v>
      </c>
      <c r="AG135" s="163">
        <f t="shared" si="218"/>
        <v>0</v>
      </c>
      <c r="AH135" s="163">
        <f t="shared" si="218"/>
        <v>0</v>
      </c>
      <c r="AJ135" s="162" t="str">
        <f t="shared" ca="1" si="219"/>
        <v xml:space="preserve">jun </v>
      </c>
      <c r="AK135" s="164">
        <f t="shared" si="220"/>
        <v>0</v>
      </c>
      <c r="AL135" s="164">
        <f t="shared" si="221"/>
        <v>0</v>
      </c>
      <c r="AM135" s="164">
        <f t="shared" si="221"/>
        <v>0</v>
      </c>
      <c r="AN135" s="164">
        <f t="shared" si="221"/>
        <v>0</v>
      </c>
      <c r="AO135" s="164">
        <f t="shared" si="221"/>
        <v>0</v>
      </c>
      <c r="AP135" s="164">
        <f t="shared" si="221"/>
        <v>0</v>
      </c>
      <c r="AQ135" s="164">
        <f t="shared" si="221"/>
        <v>0</v>
      </c>
      <c r="AR135" s="164">
        <f t="shared" si="221"/>
        <v>0</v>
      </c>
      <c r="AS135" s="164">
        <f t="shared" si="221"/>
        <v>0</v>
      </c>
      <c r="AT135" s="164">
        <f t="shared" si="221"/>
        <v>0</v>
      </c>
      <c r="AU135" s="164">
        <f t="shared" si="221"/>
        <v>0</v>
      </c>
      <c r="AV135" s="175"/>
      <c r="AW135" s="175"/>
      <c r="AX135" s="175"/>
      <c r="BT135" s="27"/>
      <c r="BU135" s="27"/>
      <c r="BV135" s="27"/>
      <c r="BW135" s="27"/>
      <c r="BX135" s="27"/>
      <c r="BY135" s="27"/>
    </row>
    <row r="136" spans="3:77" ht="16.5" customHeight="1" x14ac:dyDescent="0.25">
      <c r="F136" s="249">
        <f t="shared" ref="F136:F145" ca="1" si="228">IF(G136="jan",F135+1,F135)</f>
        <v>2019</v>
      </c>
      <c r="G136" s="249" t="str">
        <f t="shared" ca="1" si="222"/>
        <v>mars</v>
      </c>
      <c r="H136" s="3"/>
      <c r="I136" s="41">
        <f t="shared" si="223"/>
        <v>0</v>
      </c>
      <c r="J136" s="259"/>
      <c r="L136" s="41">
        <f t="shared" si="224"/>
        <v>0</v>
      </c>
      <c r="M136" s="259"/>
      <c r="O136" s="41">
        <f t="shared" si="225"/>
        <v>0</v>
      </c>
      <c r="P136" s="259"/>
      <c r="R136" s="41">
        <f t="shared" si="226"/>
        <v>0</v>
      </c>
      <c r="S136" s="259"/>
      <c r="U136" s="41">
        <f t="shared" si="227"/>
        <v>0</v>
      </c>
      <c r="V136" s="259"/>
      <c r="Y136" s="164">
        <f t="shared" si="217"/>
        <v>0</v>
      </c>
      <c r="Z136" s="164">
        <f t="shared" si="217"/>
        <v>0</v>
      </c>
      <c r="AA136" s="164">
        <f t="shared" si="217"/>
        <v>0</v>
      </c>
      <c r="AB136" s="164">
        <f t="shared" si="217"/>
        <v>0</v>
      </c>
      <c r="AC136" s="163">
        <f t="shared" si="217"/>
        <v>0</v>
      </c>
      <c r="AD136" s="163">
        <f t="shared" si="217"/>
        <v>0</v>
      </c>
      <c r="AE136" s="163">
        <f t="shared" si="218"/>
        <v>0</v>
      </c>
      <c r="AF136" s="163">
        <f t="shared" si="218"/>
        <v>0</v>
      </c>
      <c r="AG136" s="163">
        <f t="shared" si="218"/>
        <v>0</v>
      </c>
      <c r="AH136" s="163">
        <f t="shared" si="218"/>
        <v>0</v>
      </c>
      <c r="AJ136" s="162" t="str">
        <f t="shared" ca="1" si="219"/>
        <v>jul</v>
      </c>
      <c r="AK136" s="164">
        <f t="shared" si="220"/>
        <v>0</v>
      </c>
      <c r="AL136" s="164">
        <f t="shared" si="221"/>
        <v>0</v>
      </c>
      <c r="AM136" s="164">
        <f t="shared" si="221"/>
        <v>0</v>
      </c>
      <c r="AN136" s="164">
        <f t="shared" si="221"/>
        <v>0</v>
      </c>
      <c r="AO136" s="164">
        <f t="shared" si="221"/>
        <v>0</v>
      </c>
      <c r="AP136" s="164">
        <f t="shared" si="221"/>
        <v>0</v>
      </c>
      <c r="AQ136" s="164">
        <f t="shared" si="221"/>
        <v>0</v>
      </c>
      <c r="AR136" s="164">
        <f t="shared" si="221"/>
        <v>0</v>
      </c>
      <c r="AS136" s="164">
        <f t="shared" si="221"/>
        <v>0</v>
      </c>
      <c r="AT136" s="164">
        <f t="shared" si="221"/>
        <v>0</v>
      </c>
      <c r="AU136" s="164">
        <f t="shared" si="221"/>
        <v>0</v>
      </c>
      <c r="AV136" s="175"/>
      <c r="AW136" s="175"/>
      <c r="AX136" s="175"/>
      <c r="BT136" s="27"/>
      <c r="BU136" s="27"/>
      <c r="BV136" s="27"/>
      <c r="BW136" s="27"/>
      <c r="BX136" s="27"/>
      <c r="BY136" s="27"/>
    </row>
    <row r="137" spans="3:77" ht="16.5" customHeight="1" x14ac:dyDescent="0.25">
      <c r="F137" s="249">
        <f t="shared" ca="1" si="228"/>
        <v>2019</v>
      </c>
      <c r="G137" s="249" t="str">
        <f t="shared" ca="1" si="222"/>
        <v>apr</v>
      </c>
      <c r="H137" s="3"/>
      <c r="I137" s="41">
        <f t="shared" si="223"/>
        <v>0</v>
      </c>
      <c r="J137" s="259"/>
      <c r="L137" s="41">
        <f t="shared" si="224"/>
        <v>0</v>
      </c>
      <c r="M137" s="259"/>
      <c r="O137" s="41">
        <f t="shared" si="225"/>
        <v>0</v>
      </c>
      <c r="P137" s="259"/>
      <c r="R137" s="41">
        <f t="shared" si="226"/>
        <v>0</v>
      </c>
      <c r="S137" s="259"/>
      <c r="U137" s="41">
        <f t="shared" si="227"/>
        <v>0</v>
      </c>
      <c r="V137" s="259"/>
      <c r="Y137" s="164">
        <f t="shared" si="217"/>
        <v>0</v>
      </c>
      <c r="Z137" s="164">
        <f t="shared" si="217"/>
        <v>0</v>
      </c>
      <c r="AA137" s="164">
        <f t="shared" si="217"/>
        <v>0</v>
      </c>
      <c r="AB137" s="164">
        <f t="shared" si="217"/>
        <v>0</v>
      </c>
      <c r="AC137" s="163">
        <f t="shared" si="217"/>
        <v>0</v>
      </c>
      <c r="AD137" s="163">
        <f t="shared" si="217"/>
        <v>0</v>
      </c>
      <c r="AE137" s="163">
        <f t="shared" si="218"/>
        <v>0</v>
      </c>
      <c r="AF137" s="163">
        <f t="shared" si="218"/>
        <v>0</v>
      </c>
      <c r="AG137" s="163">
        <f t="shared" si="218"/>
        <v>0</v>
      </c>
      <c r="AH137" s="163">
        <f t="shared" si="218"/>
        <v>0</v>
      </c>
      <c r="AJ137" s="162" t="str">
        <f t="shared" ca="1" si="219"/>
        <v>aug</v>
      </c>
      <c r="AK137" s="164">
        <f t="shared" si="220"/>
        <v>0</v>
      </c>
      <c r="AL137" s="164">
        <f t="shared" si="221"/>
        <v>0</v>
      </c>
      <c r="AM137" s="164">
        <f t="shared" si="221"/>
        <v>0</v>
      </c>
      <c r="AN137" s="164">
        <f t="shared" si="221"/>
        <v>0</v>
      </c>
      <c r="AO137" s="164">
        <f t="shared" si="221"/>
        <v>0</v>
      </c>
      <c r="AP137" s="164">
        <f t="shared" si="221"/>
        <v>0</v>
      </c>
      <c r="AQ137" s="164">
        <f t="shared" si="221"/>
        <v>0</v>
      </c>
      <c r="AR137" s="164">
        <f t="shared" si="221"/>
        <v>0</v>
      </c>
      <c r="AS137" s="164">
        <f t="shared" si="221"/>
        <v>0</v>
      </c>
      <c r="AT137" s="164">
        <f t="shared" si="221"/>
        <v>0</v>
      </c>
      <c r="AU137" s="164">
        <f t="shared" si="221"/>
        <v>0</v>
      </c>
      <c r="AV137" s="175"/>
      <c r="AW137" s="175"/>
      <c r="AX137" s="175"/>
      <c r="BT137" s="27"/>
      <c r="BU137" s="27"/>
      <c r="BV137" s="27"/>
      <c r="BW137" s="27"/>
      <c r="BX137" s="27"/>
      <c r="BY137" s="27"/>
    </row>
    <row r="138" spans="3:77" ht="16.5" customHeight="1" x14ac:dyDescent="0.25">
      <c r="F138" s="249">
        <f t="shared" ca="1" si="228"/>
        <v>2019</v>
      </c>
      <c r="G138" s="249" t="str">
        <f t="shared" ca="1" si="222"/>
        <v>maj</v>
      </c>
      <c r="H138" s="3"/>
      <c r="I138" s="41">
        <f t="shared" si="223"/>
        <v>0</v>
      </c>
      <c r="J138" s="259"/>
      <c r="L138" s="41">
        <f t="shared" si="224"/>
        <v>0</v>
      </c>
      <c r="M138" s="259"/>
      <c r="O138" s="41">
        <f t="shared" si="225"/>
        <v>0</v>
      </c>
      <c r="P138" s="259"/>
      <c r="R138" s="41">
        <f t="shared" si="226"/>
        <v>0</v>
      </c>
      <c r="S138" s="259"/>
      <c r="U138" s="41">
        <f t="shared" si="227"/>
        <v>0</v>
      </c>
      <c r="V138" s="259"/>
      <c r="Y138" s="164">
        <f t="shared" si="217"/>
        <v>0</v>
      </c>
      <c r="Z138" s="164">
        <f t="shared" si="217"/>
        <v>0</v>
      </c>
      <c r="AA138" s="164">
        <f t="shared" si="217"/>
        <v>0</v>
      </c>
      <c r="AB138" s="164">
        <f t="shared" si="217"/>
        <v>0</v>
      </c>
      <c r="AC138" s="163">
        <f t="shared" si="217"/>
        <v>0</v>
      </c>
      <c r="AD138" s="163">
        <f t="shared" si="217"/>
        <v>0</v>
      </c>
      <c r="AE138" s="163">
        <f t="shared" si="218"/>
        <v>0</v>
      </c>
      <c r="AF138" s="163">
        <f t="shared" si="218"/>
        <v>0</v>
      </c>
      <c r="AG138" s="163">
        <f t="shared" si="218"/>
        <v>0</v>
      </c>
      <c r="AH138" s="163">
        <f t="shared" si="218"/>
        <v>0</v>
      </c>
      <c r="AJ138" s="162" t="str">
        <f t="shared" ca="1" si="219"/>
        <v>sept</v>
      </c>
      <c r="AK138" s="164">
        <f t="shared" si="220"/>
        <v>0</v>
      </c>
      <c r="AL138" s="164">
        <f t="shared" si="221"/>
        <v>0</v>
      </c>
      <c r="AM138" s="164">
        <f t="shared" si="221"/>
        <v>0</v>
      </c>
      <c r="AN138" s="164">
        <f t="shared" si="221"/>
        <v>0</v>
      </c>
      <c r="AO138" s="164">
        <f t="shared" si="221"/>
        <v>0</v>
      </c>
      <c r="AP138" s="164">
        <f t="shared" si="221"/>
        <v>0</v>
      </c>
      <c r="AQ138" s="164">
        <f t="shared" si="221"/>
        <v>0</v>
      </c>
      <c r="AR138" s="164">
        <f t="shared" si="221"/>
        <v>0</v>
      </c>
      <c r="AS138" s="164">
        <f t="shared" si="221"/>
        <v>0</v>
      </c>
      <c r="AT138" s="164">
        <f t="shared" si="221"/>
        <v>0</v>
      </c>
      <c r="AU138" s="164">
        <f t="shared" si="221"/>
        <v>0</v>
      </c>
      <c r="AV138" s="175"/>
      <c r="AW138" s="175"/>
      <c r="AX138" s="175"/>
      <c r="BT138" s="27"/>
      <c r="BU138" s="27"/>
      <c r="BV138" s="27"/>
      <c r="BW138" s="27"/>
      <c r="BX138" s="27"/>
      <c r="BY138" s="27"/>
    </row>
    <row r="139" spans="3:77" ht="16.5" customHeight="1" x14ac:dyDescent="0.25">
      <c r="F139" s="249">
        <f t="shared" ca="1" si="228"/>
        <v>2019</v>
      </c>
      <c r="G139" s="249" t="str">
        <f t="shared" ca="1" si="222"/>
        <v xml:space="preserve">jun </v>
      </c>
      <c r="H139" s="3"/>
      <c r="I139" s="41">
        <f t="shared" si="223"/>
        <v>0</v>
      </c>
      <c r="J139" s="259"/>
      <c r="L139" s="41">
        <f t="shared" si="224"/>
        <v>0</v>
      </c>
      <c r="M139" s="259"/>
      <c r="O139" s="41">
        <f t="shared" si="225"/>
        <v>0</v>
      </c>
      <c r="P139" s="259"/>
      <c r="R139" s="41">
        <f t="shared" si="226"/>
        <v>0</v>
      </c>
      <c r="S139" s="259"/>
      <c r="U139" s="41">
        <f t="shared" si="227"/>
        <v>0</v>
      </c>
      <c r="V139" s="259"/>
      <c r="Y139" s="164">
        <f t="shared" si="217"/>
        <v>0</v>
      </c>
      <c r="Z139" s="164">
        <f t="shared" si="217"/>
        <v>0</v>
      </c>
      <c r="AA139" s="164">
        <f t="shared" si="217"/>
        <v>0</v>
      </c>
      <c r="AB139" s="164">
        <f t="shared" si="217"/>
        <v>0</v>
      </c>
      <c r="AC139" s="163">
        <f t="shared" si="217"/>
        <v>0</v>
      </c>
      <c r="AD139" s="163">
        <f t="shared" si="217"/>
        <v>0</v>
      </c>
      <c r="AE139" s="163">
        <f t="shared" si="218"/>
        <v>0</v>
      </c>
      <c r="AF139" s="163">
        <f t="shared" si="218"/>
        <v>0</v>
      </c>
      <c r="AG139" s="163">
        <f t="shared" si="218"/>
        <v>0</v>
      </c>
      <c r="AH139" s="163">
        <f t="shared" si="218"/>
        <v>0</v>
      </c>
      <c r="AJ139" s="162" t="str">
        <f t="shared" ca="1" si="219"/>
        <v>okt</v>
      </c>
      <c r="AK139" s="164">
        <f t="shared" si="220"/>
        <v>0</v>
      </c>
      <c r="AL139" s="164">
        <f t="shared" si="221"/>
        <v>0</v>
      </c>
      <c r="AM139" s="164">
        <f t="shared" si="221"/>
        <v>0</v>
      </c>
      <c r="AN139" s="164">
        <f t="shared" si="221"/>
        <v>0</v>
      </c>
      <c r="AO139" s="164">
        <f t="shared" si="221"/>
        <v>0</v>
      </c>
      <c r="AP139" s="164">
        <f t="shared" si="221"/>
        <v>0</v>
      </c>
      <c r="AQ139" s="164">
        <f t="shared" si="221"/>
        <v>0</v>
      </c>
      <c r="AR139" s="164">
        <f t="shared" si="221"/>
        <v>0</v>
      </c>
      <c r="AS139" s="164">
        <f t="shared" si="221"/>
        <v>0</v>
      </c>
      <c r="AT139" s="164">
        <f t="shared" si="221"/>
        <v>0</v>
      </c>
      <c r="AU139" s="164">
        <f t="shared" si="221"/>
        <v>0</v>
      </c>
      <c r="AV139" s="175"/>
      <c r="AW139" s="175"/>
      <c r="AX139" s="175"/>
      <c r="BT139" s="27"/>
      <c r="BU139" s="27"/>
      <c r="BV139" s="27"/>
      <c r="BW139" s="27"/>
      <c r="BX139" s="27"/>
      <c r="BY139" s="27"/>
    </row>
    <row r="140" spans="3:77" ht="16.5" customHeight="1" x14ac:dyDescent="0.25">
      <c r="F140" s="249">
        <f t="shared" ca="1" si="228"/>
        <v>2019</v>
      </c>
      <c r="G140" s="249" t="str">
        <f t="shared" ca="1" si="222"/>
        <v>jul</v>
      </c>
      <c r="H140" s="3"/>
      <c r="I140" s="41">
        <f t="shared" si="223"/>
        <v>0</v>
      </c>
      <c r="J140" s="259"/>
      <c r="L140" s="41">
        <f t="shared" si="224"/>
        <v>0</v>
      </c>
      <c r="M140" s="259"/>
      <c r="O140" s="41">
        <f t="shared" si="225"/>
        <v>0</v>
      </c>
      <c r="P140" s="259"/>
      <c r="R140" s="41">
        <f t="shared" si="226"/>
        <v>0</v>
      </c>
      <c r="S140" s="259"/>
      <c r="U140" s="41">
        <f t="shared" si="227"/>
        <v>0</v>
      </c>
      <c r="V140" s="259"/>
      <c r="Y140" s="164">
        <f t="shared" si="217"/>
        <v>0</v>
      </c>
      <c r="Z140" s="164">
        <f t="shared" si="217"/>
        <v>0</v>
      </c>
      <c r="AA140" s="164">
        <f t="shared" si="217"/>
        <v>0</v>
      </c>
      <c r="AB140" s="164">
        <f t="shared" si="217"/>
        <v>0</v>
      </c>
      <c r="AC140" s="163">
        <f t="shared" si="217"/>
        <v>0</v>
      </c>
      <c r="AD140" s="163">
        <f t="shared" si="217"/>
        <v>0</v>
      </c>
      <c r="AE140" s="163">
        <f t="shared" si="218"/>
        <v>0</v>
      </c>
      <c r="AF140" s="163">
        <f t="shared" si="218"/>
        <v>0</v>
      </c>
      <c r="AG140" s="163">
        <f t="shared" si="218"/>
        <v>0</v>
      </c>
      <c r="AH140" s="163">
        <f t="shared" si="218"/>
        <v>0</v>
      </c>
      <c r="AJ140" s="162" t="str">
        <f t="shared" ca="1" si="219"/>
        <v>nov</v>
      </c>
      <c r="AK140" s="164">
        <f t="shared" si="220"/>
        <v>0</v>
      </c>
      <c r="AL140" s="164">
        <f t="shared" si="221"/>
        <v>0</v>
      </c>
      <c r="AM140" s="164">
        <f t="shared" si="221"/>
        <v>0</v>
      </c>
      <c r="AN140" s="164">
        <f t="shared" si="221"/>
        <v>0</v>
      </c>
      <c r="AO140" s="164">
        <f t="shared" si="221"/>
        <v>0</v>
      </c>
      <c r="AP140" s="164">
        <f t="shared" si="221"/>
        <v>0</v>
      </c>
      <c r="AQ140" s="164">
        <f t="shared" si="221"/>
        <v>0</v>
      </c>
      <c r="AR140" s="164">
        <f t="shared" si="221"/>
        <v>0</v>
      </c>
      <c r="AS140" s="164">
        <f t="shared" si="221"/>
        <v>0</v>
      </c>
      <c r="AT140" s="164">
        <f t="shared" si="221"/>
        <v>0</v>
      </c>
      <c r="AU140" s="164">
        <f t="shared" si="221"/>
        <v>0</v>
      </c>
      <c r="AV140" s="175"/>
      <c r="AW140" s="175"/>
      <c r="AX140" s="175"/>
      <c r="BT140" s="27"/>
      <c r="BU140" s="27"/>
      <c r="BV140" s="27"/>
      <c r="BW140" s="27"/>
      <c r="BX140" s="27"/>
      <c r="BY140" s="27"/>
    </row>
    <row r="141" spans="3:77" ht="16.5" customHeight="1" thickBot="1" x14ac:dyDescent="0.3">
      <c r="F141" s="249">
        <f t="shared" ca="1" si="228"/>
        <v>2019</v>
      </c>
      <c r="G141" s="249" t="str">
        <f t="shared" ca="1" si="222"/>
        <v>aug</v>
      </c>
      <c r="H141" s="3"/>
      <c r="I141" s="41">
        <f t="shared" si="223"/>
        <v>0</v>
      </c>
      <c r="J141" s="259"/>
      <c r="L141" s="41">
        <f t="shared" si="224"/>
        <v>0</v>
      </c>
      <c r="M141" s="259"/>
      <c r="O141" s="41">
        <f t="shared" si="225"/>
        <v>0</v>
      </c>
      <c r="P141" s="259"/>
      <c r="R141" s="41">
        <f t="shared" si="226"/>
        <v>0</v>
      </c>
      <c r="S141" s="259"/>
      <c r="U141" s="41">
        <f t="shared" si="227"/>
        <v>0</v>
      </c>
      <c r="V141" s="259"/>
      <c r="Y141" s="165">
        <f t="shared" si="217"/>
        <v>0</v>
      </c>
      <c r="Z141" s="165">
        <f t="shared" si="217"/>
        <v>0</v>
      </c>
      <c r="AA141" s="165">
        <f t="shared" si="217"/>
        <v>0</v>
      </c>
      <c r="AB141" s="165">
        <f t="shared" si="217"/>
        <v>0</v>
      </c>
      <c r="AC141" s="166">
        <f t="shared" si="217"/>
        <v>0</v>
      </c>
      <c r="AD141" s="166">
        <f t="shared" si="217"/>
        <v>0</v>
      </c>
      <c r="AE141" s="166">
        <f t="shared" si="218"/>
        <v>0</v>
      </c>
      <c r="AF141" s="166">
        <f t="shared" si="218"/>
        <v>0</v>
      </c>
      <c r="AG141" s="166">
        <f t="shared" si="218"/>
        <v>0</v>
      </c>
      <c r="AH141" s="166">
        <f t="shared" si="218"/>
        <v>0</v>
      </c>
      <c r="AJ141" s="162" t="str">
        <f t="shared" ca="1" si="219"/>
        <v>dec</v>
      </c>
      <c r="AK141" s="164">
        <f t="shared" si="220"/>
        <v>0</v>
      </c>
      <c r="AL141" s="164">
        <f t="shared" si="221"/>
        <v>0</v>
      </c>
      <c r="AM141" s="164">
        <f t="shared" si="221"/>
        <v>0</v>
      </c>
      <c r="AN141" s="164">
        <f t="shared" si="221"/>
        <v>0</v>
      </c>
      <c r="AO141" s="164">
        <f t="shared" si="221"/>
        <v>0</v>
      </c>
      <c r="AP141" s="164">
        <f t="shared" si="221"/>
        <v>0</v>
      </c>
      <c r="AQ141" s="164">
        <f t="shared" si="221"/>
        <v>0</v>
      </c>
      <c r="AR141" s="164">
        <f t="shared" si="221"/>
        <v>0</v>
      </c>
      <c r="AS141" s="164">
        <f t="shared" si="221"/>
        <v>0</v>
      </c>
      <c r="AT141" s="164">
        <f t="shared" si="221"/>
        <v>0</v>
      </c>
      <c r="AU141" s="164">
        <f t="shared" si="221"/>
        <v>0</v>
      </c>
      <c r="AV141" s="175"/>
      <c r="AW141" s="175"/>
      <c r="AX141" s="175"/>
      <c r="BT141" s="27"/>
      <c r="BU141" s="27"/>
      <c r="BV141" s="27"/>
      <c r="BW141" s="27"/>
      <c r="BX141" s="27"/>
      <c r="BY141" s="27"/>
    </row>
    <row r="142" spans="3:77" ht="16.5" customHeight="1" thickTop="1" x14ac:dyDescent="0.25">
      <c r="F142" s="249">
        <f t="shared" ca="1" si="228"/>
        <v>2019</v>
      </c>
      <c r="G142" s="249" t="str">
        <f t="shared" ca="1" si="222"/>
        <v>sept</v>
      </c>
      <c r="H142" s="3"/>
      <c r="I142" s="41">
        <f t="shared" si="223"/>
        <v>0</v>
      </c>
      <c r="J142" s="259"/>
      <c r="L142" s="41">
        <f t="shared" si="224"/>
        <v>0</v>
      </c>
      <c r="M142" s="259"/>
      <c r="O142" s="41">
        <f t="shared" si="225"/>
        <v>0</v>
      </c>
      <c r="P142" s="259"/>
      <c r="R142" s="41">
        <f t="shared" si="226"/>
        <v>0</v>
      </c>
      <c r="S142" s="259"/>
      <c r="U142" s="41">
        <f t="shared" si="227"/>
        <v>0</v>
      </c>
      <c r="V142" s="259"/>
      <c r="X142" s="110" t="s">
        <v>1098</v>
      </c>
      <c r="Y142" s="167">
        <f t="shared" ref="Y142:AD142" si="229">SUM(Y130:Y141)</f>
        <v>0</v>
      </c>
      <c r="Z142" s="167">
        <f t="shared" si="229"/>
        <v>0</v>
      </c>
      <c r="AA142" s="167">
        <f t="shared" si="229"/>
        <v>0</v>
      </c>
      <c r="AB142" s="167">
        <f t="shared" si="229"/>
        <v>0</v>
      </c>
      <c r="AC142" s="167">
        <f t="shared" si="229"/>
        <v>0</v>
      </c>
      <c r="AD142" s="167">
        <f t="shared" si="229"/>
        <v>0</v>
      </c>
      <c r="AE142" s="167">
        <f>SUM(AE130:AE141)</f>
        <v>0</v>
      </c>
      <c r="AF142" s="167">
        <f>SUM(AF130:AF141)</f>
        <v>0</v>
      </c>
      <c r="AG142" s="167">
        <f>SUM(AG130:AG141)</f>
        <v>0</v>
      </c>
      <c r="AH142" s="167">
        <f>SUM(AH130:AH141)</f>
        <v>0</v>
      </c>
      <c r="BT142" s="27"/>
      <c r="BU142" s="27"/>
      <c r="BV142" s="27"/>
      <c r="BW142" s="27"/>
      <c r="BX142" s="27"/>
      <c r="BY142" s="27"/>
    </row>
    <row r="143" spans="3:77" ht="16.5" customHeight="1" x14ac:dyDescent="0.25">
      <c r="F143" s="249">
        <f t="shared" ca="1" si="228"/>
        <v>2019</v>
      </c>
      <c r="G143" s="249" t="str">
        <f t="shared" ca="1" si="222"/>
        <v>okt</v>
      </c>
      <c r="H143" s="3"/>
      <c r="I143" s="41">
        <f t="shared" si="223"/>
        <v>0</v>
      </c>
      <c r="J143" s="259"/>
      <c r="L143" s="41">
        <f t="shared" si="224"/>
        <v>0</v>
      </c>
      <c r="M143" s="259"/>
      <c r="O143" s="41">
        <f t="shared" si="225"/>
        <v>0</v>
      </c>
      <c r="P143" s="259"/>
      <c r="R143" s="41">
        <f t="shared" si="226"/>
        <v>0</v>
      </c>
      <c r="S143" s="259"/>
      <c r="U143" s="41">
        <f t="shared" si="227"/>
        <v>0</v>
      </c>
      <c r="V143" s="259"/>
      <c r="BB143" s="119"/>
      <c r="BT143" s="27"/>
      <c r="BU143" s="27"/>
      <c r="BV143" s="27"/>
      <c r="BW143" s="27"/>
      <c r="BX143" s="27"/>
      <c r="BY143" s="27"/>
    </row>
    <row r="144" spans="3:77" ht="16.5" customHeight="1" x14ac:dyDescent="0.25">
      <c r="F144" s="249">
        <f t="shared" ca="1" si="228"/>
        <v>2019</v>
      </c>
      <c r="G144" s="249" t="str">
        <f t="shared" ca="1" si="222"/>
        <v>nov</v>
      </c>
      <c r="H144" s="3"/>
      <c r="I144" s="41">
        <f t="shared" si="223"/>
        <v>0</v>
      </c>
      <c r="J144" s="259"/>
      <c r="L144" s="41">
        <f t="shared" si="224"/>
        <v>0</v>
      </c>
      <c r="M144" s="259"/>
      <c r="O144" s="41">
        <f t="shared" si="225"/>
        <v>0</v>
      </c>
      <c r="P144" s="259"/>
      <c r="R144" s="41">
        <f t="shared" si="226"/>
        <v>0</v>
      </c>
      <c r="S144" s="259"/>
      <c r="U144" s="41">
        <f t="shared" si="227"/>
        <v>0</v>
      </c>
      <c r="V144" s="259"/>
      <c r="Y144" s="86"/>
      <c r="AG144" s="174"/>
      <c r="AH144" s="174"/>
      <c r="AI144" s="174"/>
      <c r="AJ144" s="174"/>
      <c r="AK144" s="174"/>
      <c r="AL144" s="174"/>
      <c r="AM144" s="174"/>
      <c r="AN144" s="174"/>
      <c r="AO144" s="174"/>
      <c r="AP144" s="174"/>
      <c r="AQ144" s="174"/>
      <c r="AR144" s="174"/>
      <c r="AS144" s="174"/>
      <c r="AT144" s="174"/>
      <c r="AU144" s="174"/>
      <c r="AV144" s="174"/>
      <c r="AW144" s="174"/>
      <c r="AX144" s="174"/>
      <c r="BB144" s="21" t="s">
        <v>1161</v>
      </c>
      <c r="BT144" s="27"/>
      <c r="BU144" s="27"/>
      <c r="BV144" s="27"/>
      <c r="BW144" s="27"/>
      <c r="BX144" s="27"/>
      <c r="BY144" s="27"/>
    </row>
    <row r="145" spans="2:75" ht="16.5" customHeight="1" x14ac:dyDescent="0.25">
      <c r="F145" s="249">
        <f t="shared" ca="1" si="228"/>
        <v>2019</v>
      </c>
      <c r="G145" s="249" t="str">
        <f t="shared" ca="1" si="222"/>
        <v>dec</v>
      </c>
      <c r="H145" s="3"/>
      <c r="I145" s="41">
        <f t="shared" si="223"/>
        <v>0</v>
      </c>
      <c r="J145" s="259"/>
      <c r="L145" s="41">
        <f t="shared" si="224"/>
        <v>0</v>
      </c>
      <c r="M145" s="259"/>
      <c r="O145" s="41">
        <f t="shared" si="225"/>
        <v>0</v>
      </c>
      <c r="P145" s="259"/>
      <c r="R145" s="41">
        <f t="shared" si="226"/>
        <v>0</v>
      </c>
      <c r="S145" s="259"/>
      <c r="U145" s="41">
        <f t="shared" si="227"/>
        <v>0</v>
      </c>
      <c r="V145" s="259"/>
      <c r="Y145" s="86" t="s">
        <v>1160</v>
      </c>
      <c r="AD145" s="86" t="s">
        <v>1161</v>
      </c>
      <c r="AG145" s="174"/>
      <c r="AH145" s="174"/>
      <c r="AJ145" s="86" t="s">
        <v>1302</v>
      </c>
      <c r="AM145" s="174"/>
      <c r="AN145" s="174"/>
      <c r="AO145" s="174"/>
      <c r="AP145" s="174"/>
      <c r="AQ145" s="174"/>
      <c r="AR145" s="174"/>
      <c r="AS145" s="174"/>
      <c r="AT145" s="174"/>
      <c r="AU145" s="174"/>
      <c r="AV145" s="174"/>
      <c r="AW145" s="174"/>
      <c r="AX145" s="174"/>
      <c r="BB145" s="26" t="s">
        <v>1162</v>
      </c>
    </row>
    <row r="146" spans="2:75" ht="16.5" customHeight="1" x14ac:dyDescent="0.25">
      <c r="E146" s="20"/>
      <c r="I146" s="51">
        <f>SUM(I134:I145)</f>
        <v>0</v>
      </c>
      <c r="J146" s="51">
        <f>SUM(J134:J145)</f>
        <v>0</v>
      </c>
      <c r="L146" s="51">
        <f>SUM(L134:L145)</f>
        <v>0</v>
      </c>
      <c r="M146" s="51">
        <f>SUM(M134:M145)</f>
        <v>0</v>
      </c>
      <c r="O146" s="51">
        <f>SUM(O134:O145)</f>
        <v>0</v>
      </c>
      <c r="P146" s="51">
        <f>SUM(P134:P145)</f>
        <v>0</v>
      </c>
      <c r="R146" s="51">
        <f>SUM(R134:R145)</f>
        <v>0</v>
      </c>
      <c r="S146" s="51">
        <f>SUM(S134:S145)</f>
        <v>0</v>
      </c>
      <c r="U146" s="51">
        <f>SUM(U134:U145)</f>
        <v>0</v>
      </c>
      <c r="V146" s="51">
        <f>SUM(V134:V145)</f>
        <v>0</v>
      </c>
      <c r="Y146" s="84" t="s">
        <v>1284</v>
      </c>
      <c r="AD146" s="86"/>
      <c r="AG146" s="174"/>
      <c r="AH146" s="174"/>
      <c r="AJ146" s="86"/>
      <c r="AM146" s="174"/>
      <c r="AN146" s="174"/>
      <c r="AO146" s="174"/>
      <c r="AP146" s="174"/>
      <c r="AQ146" s="174"/>
      <c r="AR146" s="174"/>
      <c r="AS146" s="174"/>
      <c r="AT146" s="174"/>
      <c r="AU146" s="174"/>
      <c r="AV146" s="174"/>
      <c r="AW146" s="174"/>
      <c r="AX146" s="174"/>
      <c r="BA146" s="24" t="s">
        <v>1093</v>
      </c>
      <c r="BB146" s="32" t="str">
        <f>AD151</f>
        <v>El</v>
      </c>
      <c r="BC146" s="32" t="str">
        <f>AE151</f>
        <v/>
      </c>
      <c r="BD146" s="32" t="str">
        <f>AF151</f>
        <v/>
      </c>
    </row>
    <row r="147" spans="2:75" ht="16.5" customHeight="1" x14ac:dyDescent="0.25">
      <c r="E147" s="20"/>
      <c r="F147" s="238" t="s">
        <v>1088</v>
      </c>
      <c r="G147" s="23" t="str">
        <f>IF(OR(AV19="Fel i indata",AV20="Fel i indata",AV21="Fel i indata",AV22="Fel i indata",AV23="Fel i indata",AV24="Fel i indata",AV25="Fel i indata",AV26="Fel i indata",AV27="Fel i indata",AV28="Fel i indata",AV29="Fel i indata",AV30="Fel i indata",AX19="Fel i indata",AX20="Fel i indata",AX21="Fel i indata",AX22="Fel i indata",AX23="Fel i indata",AX24="Fel i indata",AX25="Fel i indata",AX26="Fel i indata",AX27="Fel i indata",AX28="Fel i indata",AX29="Fel i indata",AX30="Fel i indata"),"Fel i indata","")</f>
        <v/>
      </c>
      <c r="I147" s="17" t="str">
        <f>IF(G147="Fel i indata","OBS! Se över din indata, energi för uppvärmning blir negativ efter avdrag för egenproducerad/återvunnen energi","")</f>
        <v/>
      </c>
      <c r="L147" s="51"/>
      <c r="M147" s="51"/>
      <c r="O147" s="51"/>
      <c r="P147" s="51"/>
      <c r="R147" s="51"/>
      <c r="S147" s="51"/>
      <c r="U147" s="51"/>
      <c r="V147" s="51"/>
      <c r="X147" s="110" t="s">
        <v>1093</v>
      </c>
      <c r="Y147" s="35" t="str">
        <f>IF($J$155=Y150,$J$154,"")</f>
        <v/>
      </c>
      <c r="Z147" s="35" t="str">
        <f>IF($M$155=Y150,$M$154,"")</f>
        <v/>
      </c>
      <c r="AA147" s="35" t="str">
        <f>IF($P$155=Y150,$P$154,"")</f>
        <v/>
      </c>
      <c r="AB147" s="110"/>
      <c r="AC147" s="110" t="s">
        <v>1093</v>
      </c>
      <c r="AD147" s="35" t="str">
        <f>IF($J$155=$AD$150,$J$154,"")</f>
        <v>El</v>
      </c>
      <c r="AE147" s="35" t="str">
        <f>IF($M$155=$AD$150,$M$154,"")</f>
        <v/>
      </c>
      <c r="AF147" s="35" t="str">
        <f>IF($P$155=$AD$150,$P$154,"")</f>
        <v/>
      </c>
      <c r="AG147" s="174"/>
      <c r="AI147" s="110" t="s">
        <v>1093</v>
      </c>
      <c r="AJ147" s="35" t="str">
        <f>AD147</f>
        <v>El</v>
      </c>
      <c r="AK147" s="35" t="str">
        <f>AE147</f>
        <v/>
      </c>
      <c r="AL147" s="35" t="str">
        <f>AF147</f>
        <v/>
      </c>
      <c r="AM147" s="174"/>
      <c r="BA147" s="24" t="s">
        <v>1285</v>
      </c>
      <c r="BB147" s="30">
        <f>IF(OR(BB146="Fjärrvärme",BB146="Biobränsle",BB146="Gas",BB146="Olja"),1,IF(BB146="El",1.6,""))</f>
        <v>1.6</v>
      </c>
      <c r="BC147" s="30" t="str">
        <f>IF(OR(BC146="Fjärrvärme",BC146="Biobränsle",BC146="Gas",BC146="Olja"),1,IF(BC146="El",1.6,""))</f>
        <v/>
      </c>
      <c r="BD147" s="30" t="str">
        <f>IF(OR(BD146="Fjärrvärme",BD146="Biobränsle",BD146="Gas",BD146="Olja"),1,IF(BD146="El",1.6,""))</f>
        <v/>
      </c>
    </row>
    <row r="148" spans="2:75" ht="16.5" customHeight="1" x14ac:dyDescent="0.25">
      <c r="E148" s="20"/>
      <c r="F148" s="238" t="s">
        <v>1369</v>
      </c>
      <c r="G148" s="23" t="str">
        <f>IF(OR(AV44="Fel i indata",AV45="Fel i indata",AV46="Fel i indata",AV47="Fel i indata",AV48="Fel i indata",AV49="Fel i indata",AV50="Fel i indata",AV51="Fel i indata",AV52="Fel i indata",AV53="Fel i indata",AV54="Fel i indata",AV55="Fel i indata",AX44="Fel i indata",AX45="Fel i indata",AX46="Fel i indata",AX47="Fel i indata",AX48="Fel i indata",AX49="Fel i indata",AX50="Fel i indata",AX51="Fel i indata",AX52="Fel i indata",AX53="Fel i indata",AX54="Fel i indata",AX55="Fel i indata"),"Fel i indata","")</f>
        <v/>
      </c>
      <c r="I148" s="17" t="str">
        <f>IF(G148="Fel i indata","OBS! Se över din indata, energi för tappvarmvatten blir negativ efter avdrag för egenproducerad/återvunnen energi","")</f>
        <v/>
      </c>
      <c r="L148" s="51"/>
      <c r="M148" s="51"/>
      <c r="O148" s="51"/>
      <c r="P148" s="51"/>
      <c r="R148" s="51"/>
      <c r="S148" s="51"/>
      <c r="U148" s="51"/>
      <c r="V148" s="51"/>
      <c r="X148" s="110"/>
      <c r="Y148" s="110"/>
      <c r="Z148" s="110"/>
      <c r="AA148" s="110"/>
      <c r="AB148" s="110"/>
      <c r="AG148" s="174"/>
      <c r="AH148" s="110"/>
      <c r="AM148" s="174"/>
      <c r="AN148" s="110"/>
      <c r="AO148" s="110"/>
      <c r="AP148" s="110"/>
      <c r="AQ148" s="110"/>
      <c r="AR148" s="110"/>
      <c r="AS148" s="110"/>
      <c r="AT148" s="110"/>
      <c r="AU148" s="110"/>
      <c r="AV148" s="110"/>
      <c r="AW148" s="110"/>
      <c r="AX148" s="110"/>
      <c r="BA148" s="24" t="s">
        <v>1286</v>
      </c>
      <c r="BB148" s="32">
        <f>IF(OR(BB146="El",BB146="Gas",BB146="Olja"),1.8,IF(BB146="Fjärrvärme",0.7,IF(BB146="Biobränsle",0.6,"")))</f>
        <v>1.8</v>
      </c>
      <c r="BC148" s="32" t="str">
        <f>IF(OR(BC146="El",BC146="Gas",BC146="Olja"),1.8,IF(BC146="Fjärrvärme",0.7,IF(BC146="Biobränsle",0.6,"")))</f>
        <v/>
      </c>
      <c r="BD148" s="32" t="str">
        <f>IF(OR(BD146="El",BD146="Gas",BD146="Olja"),1.8,IF(BD146="Fjärrvärme",0.7,IF(BD146="Biobränsle",0.6,"")))</f>
        <v/>
      </c>
    </row>
    <row r="149" spans="2:75" ht="16.5" customHeight="1" x14ac:dyDescent="0.25">
      <c r="E149" s="20"/>
      <c r="F149" s="238" t="s">
        <v>1370</v>
      </c>
      <c r="G149" s="23" t="str">
        <f>IF(OR(AG82="Fel i indata",AG83="Fel i indata",AG84="Fel i indata",AG85="Fel i indata",AG86="Fel i indata",AG87="Fel i indata",AG88="Fel i indata",AG89="Fel i indata",AG90="Fel i indata",AG91="Fel i indata",AG92="Fel i indata",AG93="Fel i indata"),"Fel i indata","")</f>
        <v/>
      </c>
      <c r="I149" s="17" t="str">
        <f>IF(G149="Fel i indata","OBS! Se över din indata, energi för komfortkyla blir negativ efter avdrag för egenproducerad/återvunnen energi","")</f>
        <v/>
      </c>
      <c r="L149" s="51"/>
      <c r="M149" s="51"/>
      <c r="O149" s="51"/>
      <c r="P149" s="51"/>
      <c r="R149" s="51"/>
      <c r="S149" s="51"/>
      <c r="U149" s="51"/>
      <c r="V149" s="51"/>
      <c r="X149" s="110"/>
      <c r="Y149" s="84" t="s">
        <v>1381</v>
      </c>
      <c r="AH149" s="162"/>
      <c r="AJ149" s="84" t="s">
        <v>1380</v>
      </c>
      <c r="AN149" s="162"/>
      <c r="AO149" s="162"/>
      <c r="AP149" s="162"/>
      <c r="AQ149" s="162"/>
      <c r="AR149" s="162"/>
      <c r="AS149" s="162"/>
      <c r="AT149" s="162"/>
      <c r="AU149" s="162"/>
      <c r="AV149" s="162"/>
      <c r="AW149" s="162"/>
      <c r="AX149" s="162"/>
    </row>
    <row r="150" spans="2:75" ht="16.5" customHeight="1" x14ac:dyDescent="0.25">
      <c r="E150" s="20"/>
      <c r="F150" s="238" t="s">
        <v>1089</v>
      </c>
      <c r="G150" s="23" t="str">
        <f>IF(OR(AK105="Fel i indata",AK106="Fel i indata",AK107="Fel i indata",AK108="Fel i indata",AK109="Fel i indata",AK110="Fel i indata",AK111="Fel i indata",AK112="Fel i indata",AK113="Fel i indata",AK114="Fel i indata",AK115="Fel i indata",AK116="Fel i indata",AK117="Fel i indata"),"Fel i indata","")</f>
        <v/>
      </c>
      <c r="I150" s="17" t="str">
        <f>IF(G150="Fel I indata","OBS! Se över din indata, energi för fastighetsenergi blir negativ efter avdrag för egenproducerad/återvunnen energi","")</f>
        <v/>
      </c>
      <c r="L150" s="51"/>
      <c r="M150" s="51"/>
      <c r="O150" s="51"/>
      <c r="P150" s="51"/>
      <c r="R150" s="51"/>
      <c r="S150" s="51"/>
      <c r="U150" s="51"/>
      <c r="V150" s="51"/>
      <c r="Y150" s="85" t="s">
        <v>1282</v>
      </c>
      <c r="AB150" s="110"/>
      <c r="AD150" s="85" t="s">
        <v>1157</v>
      </c>
      <c r="AG150" s="110"/>
      <c r="AH150" s="175"/>
      <c r="AJ150" s="85" t="s">
        <v>1157</v>
      </c>
      <c r="AM150" s="110"/>
      <c r="AN150" s="175"/>
      <c r="AO150" s="175"/>
      <c r="AP150" s="175"/>
      <c r="AQ150" s="175"/>
      <c r="AR150" s="175"/>
      <c r="AS150" s="175"/>
      <c r="AT150" s="175"/>
      <c r="AU150" s="175"/>
      <c r="AV150" s="175"/>
      <c r="AW150" s="175"/>
      <c r="AX150" s="175"/>
      <c r="BA150" s="22"/>
      <c r="BB150" s="22"/>
      <c r="BC150" s="22"/>
      <c r="BD150" s="22"/>
      <c r="BE150" s="22"/>
    </row>
    <row r="151" spans="2:75" ht="16.5" customHeight="1" x14ac:dyDescent="0.25">
      <c r="B151" s="267">
        <v>6</v>
      </c>
      <c r="C151" s="268" t="s">
        <v>1283</v>
      </c>
      <c r="D151" s="269"/>
      <c r="E151" s="269"/>
      <c r="F151" s="257"/>
      <c r="G151" s="257"/>
      <c r="H151" s="257"/>
      <c r="I151" s="257"/>
      <c r="J151" s="256"/>
      <c r="K151" s="256"/>
      <c r="L151" s="256"/>
      <c r="M151" s="257"/>
      <c r="N151" s="257"/>
      <c r="O151" s="257"/>
      <c r="P151" s="257"/>
      <c r="Q151" s="257"/>
      <c r="R151" s="257"/>
      <c r="S151" s="257"/>
      <c r="T151" s="257"/>
      <c r="U151" s="257"/>
      <c r="V151" s="257"/>
      <c r="W151" s="258"/>
      <c r="X151" s="110" t="s">
        <v>1093</v>
      </c>
      <c r="Y151" s="35" t="str">
        <f>Y147</f>
        <v/>
      </c>
      <c r="Z151" s="35" t="str">
        <f>IF(Z147&lt;&gt;Y147,Z147,"")</f>
        <v/>
      </c>
      <c r="AA151" s="35" t="str">
        <f>IF(AND(AA147&lt;&gt;Z147,AA147&lt;&gt;Y147),AA147,"")</f>
        <v/>
      </c>
      <c r="AB151" s="35" t="s">
        <v>1094</v>
      </c>
      <c r="AD151" s="35" t="str">
        <f>AD147</f>
        <v>El</v>
      </c>
      <c r="AE151" s="35" t="str">
        <f>IF(AE147&lt;&gt;AD147,AE147,"")</f>
        <v/>
      </c>
      <c r="AF151" s="35" t="str">
        <f>IF(AND(AF147&lt;&gt;AE147,AF147&lt;&gt;AD147),AF147,"")</f>
        <v/>
      </c>
      <c r="AG151" s="35" t="s">
        <v>1094</v>
      </c>
      <c r="AH151" s="175"/>
      <c r="AJ151" s="35" t="str">
        <f>AJ147</f>
        <v>El</v>
      </c>
      <c r="AK151" s="35" t="str">
        <f>IF(AK147&lt;&gt;AJ147,AK147,"")</f>
        <v/>
      </c>
      <c r="AL151" s="35" t="str">
        <f>IF(AND(AL147&lt;&gt;AK147,AL147&lt;&gt;AJ147),AL147,"")</f>
        <v/>
      </c>
      <c r="AM151" s="35" t="s">
        <v>1094</v>
      </c>
      <c r="AN151" s="175"/>
      <c r="AO151" s="175"/>
      <c r="AP151" s="175"/>
      <c r="AQ151" s="175"/>
      <c r="AR151" s="175"/>
      <c r="AS151" s="175"/>
      <c r="AT151" s="175"/>
      <c r="AU151" s="175"/>
      <c r="AV151" s="175"/>
      <c r="AW151" s="175"/>
      <c r="AX151" s="175"/>
      <c r="BB151" s="22" t="str">
        <f t="shared" ref="BB151:BD152" si="230">AJ151</f>
        <v>El</v>
      </c>
      <c r="BC151" s="22" t="str">
        <f t="shared" si="230"/>
        <v/>
      </c>
      <c r="BD151" s="22" t="str">
        <f t="shared" si="230"/>
        <v/>
      </c>
      <c r="BE151" s="22" t="s">
        <v>1159</v>
      </c>
      <c r="BU151" s="22"/>
      <c r="BV151" s="22"/>
      <c r="BW151" s="22"/>
    </row>
    <row r="152" spans="2:75" ht="16.5" customHeight="1" x14ac:dyDescent="0.25">
      <c r="C152" s="17" t="str">
        <f>IF(AB165&gt;50,"OBS! VERKSAMHETSEL ÄR STÖRRE ÄN 50 kWh/m2 Atemp PER LOKALAREA. I LOKALBYGGNADER FÅR INTERNT GENERERAT VÄRMEÖVERSKOTT PÅ HÖGST 50 kWh/m2 Atemp TILLGODORÄKNAS. ANVÄND DYNAMISK ENERGIBERÄKNING FÖR NORMALISERING AV MÄTVÄRDEN.","")</f>
        <v/>
      </c>
      <c r="Y152" s="164">
        <f>IF('Indata byggnad och BBR krav'!$C$18=0,0,(IF(AND(J$155=$Y$150, $J$154=$Y$151),I159,0)+IF(AND($M$155=$Y$150, $M$154=$Y$151),L159,0)+IF(AND($P$155=$Y$150, $P$154=$Y$151),O159,0)))</f>
        <v>0</v>
      </c>
      <c r="Z152" s="171">
        <f>IF('Indata byggnad och BBR krav'!$C$18=0,0,(IF(AND(J$155=$Y$150, $J$154=$Z$151),I159,0)+IF(AND($M$155=$Y$150, $M$154=$Z$151),L159,0)+IF(AND($P$155=$Y$150, $P$154=$Z$151),O159,0)))</f>
        <v>0</v>
      </c>
      <c r="AA152" s="171">
        <f>IF('Indata byggnad och BBR krav'!$C$18=0,0,(IF(AND(J$155=$Y$150, $J$154=$AA$151),I159,0)+IF(AND($M$155=$Y$150, $M$154=$AA$151),L159,0)+IF(AND($P$155=$Y$150, $P$154=$AA$151),O159,0)))</f>
        <v>0</v>
      </c>
      <c r="AB152" s="164">
        <f>Y152+Z152+AA152</f>
        <v>0</v>
      </c>
      <c r="AD152" s="164">
        <f t="shared" ref="AD152:AD163" si="231">IF(AND(J$155=$AD$150, $J$154=$AD$151),I159,0)+IF(AND($M$155=$AD$150, $M$154=$AD$151),L159,0)+IF(AND($P$155=$AD$150, $P$154=$AD$151),O159,0)</f>
        <v>0</v>
      </c>
      <c r="AE152" s="164">
        <f t="shared" ref="AE152:AE163" si="232">IF(AND(J$155=$AD$150, $J$154=$AE$151),I159,0)+IF(AND($M$155=$AD$150, $M$154=$AE$151),L159,0)+IF(AND($P$155=$AD$150, $P$154=$AE$151),O159,0)</f>
        <v>0</v>
      </c>
      <c r="AF152" s="164">
        <f t="shared" ref="AF152:AF163" si="233">IF(AND(J$155=$AD$150, $J$154=$AF$151),I159,0)+IF(AND($M$155=$AD$150, $M$154=$AF$151),L159,0)+IF(AND($P$155=$AD$150, $P$154=$AF$151),O159,0)</f>
        <v>0</v>
      </c>
      <c r="AG152" s="164">
        <f t="shared" ref="AG152:AG163" si="234">AD152+AE152+AF152</f>
        <v>0</v>
      </c>
      <c r="AH152" s="175"/>
      <c r="AJ152" s="164">
        <f>IF('Indata byggnad och BBR krav'!$C$17=0,0,IF(AND($AJ$151="El",$D$107="Ingår i mätdata hushållsel"),AD152-AO105,AD152))</f>
        <v>0</v>
      </c>
      <c r="AK152" s="164">
        <f>IF('Indata byggnad och BBR krav'!$C$17=0,0,IF(AND($AK$151="El",$D$107="Ingår i mätdata hushållsel"),AE152-AO105,AE152))</f>
        <v>0</v>
      </c>
      <c r="AL152" s="164">
        <f>IF('Indata byggnad och BBR krav'!$C$17=0,0,IF(AND(AL151="El",$D$107="Ingår i mätdata hushållsel"),AF152-AO105,AF152))</f>
        <v>0</v>
      </c>
      <c r="AM152" s="164">
        <f t="shared" ref="AM152:AM163" si="235">AJ152+AK152+AL152</f>
        <v>0</v>
      </c>
      <c r="AN152" s="237" t="str">
        <f>IF(OR(AJ152&lt;0,AK152&lt;0,AL152&lt;0),"Fel i indata","")</f>
        <v/>
      </c>
      <c r="AO152" s="175"/>
      <c r="AP152" s="175"/>
      <c r="AQ152" s="175"/>
      <c r="AR152" s="175"/>
      <c r="AS152" s="175"/>
      <c r="AT152" s="175"/>
      <c r="AU152" s="175"/>
      <c r="AV152" s="175"/>
      <c r="AW152" s="175"/>
      <c r="AX152" s="175"/>
      <c r="BB152" s="30">
        <f t="shared" si="230"/>
        <v>0</v>
      </c>
      <c r="BC152" s="30">
        <f t="shared" si="230"/>
        <v>0</v>
      </c>
      <c r="BD152" s="30">
        <f t="shared" si="230"/>
        <v>0</v>
      </c>
      <c r="BE152" s="30">
        <f t="shared" ref="BE152:BE163" si="236">BB152+BC152+BD152</f>
        <v>0</v>
      </c>
      <c r="BU152" s="22"/>
      <c r="BV152" s="22"/>
      <c r="BW152" s="22"/>
    </row>
    <row r="153" spans="2:75" ht="16.5" customHeight="1" x14ac:dyDescent="0.25">
      <c r="F153" s="350" t="s">
        <v>1138</v>
      </c>
      <c r="G153" s="350"/>
      <c r="I153" s="60" t="s">
        <v>1047</v>
      </c>
      <c r="L153" s="60" t="s">
        <v>1048</v>
      </c>
      <c r="O153" s="60" t="s">
        <v>1049</v>
      </c>
      <c r="Y153" s="164">
        <f>IF('Indata byggnad och BBR krav'!$C$18=0,0,(IF(AND(J$155=$Y$150, $J$154=$Y$151),I160,0)+IF(AND($M$155=$Y$150, $M$154=$Y$151),L160,0)+IF(AND($P$155=$Y$150, $P$154=$Y$151),O160,0)))</f>
        <v>0</v>
      </c>
      <c r="Z153" s="171">
        <f>IF('Indata byggnad och BBR krav'!$C$18=0,0,(IF(AND(J$155=$Y$150, $J$154=$Z$151),I160,0)+IF(AND($M$155=$Y$150, $M$154=$Z$151),L160,0)+IF(AND($P$155=$Y$150, $P$154=$Z$151),O160,0)))</f>
        <v>0</v>
      </c>
      <c r="AA153" s="171">
        <f>IF('Indata byggnad och BBR krav'!$C$18=0,0,(IF(AND(J$155=$Y$150, $J$154=$AA$151),I160,0)+IF(AND($M$155=$Y$150, $M$154=$AA$151),L160,0)+IF(AND($P$155=$Y$150, $P$154=$AA$151),O160,0)))</f>
        <v>0</v>
      </c>
      <c r="AB153" s="164">
        <f t="shared" ref="AB153:AB163" si="237">Y153+Z153+AA153</f>
        <v>0</v>
      </c>
      <c r="AD153" s="164">
        <f t="shared" si="231"/>
        <v>0</v>
      </c>
      <c r="AE153" s="164">
        <f t="shared" si="232"/>
        <v>0</v>
      </c>
      <c r="AF153" s="164">
        <f t="shared" si="233"/>
        <v>0</v>
      </c>
      <c r="AG153" s="164">
        <f t="shared" si="234"/>
        <v>0</v>
      </c>
      <c r="AH153" s="175"/>
      <c r="AJ153" s="164">
        <f>IF('Indata byggnad och BBR krav'!$C$17=0,0,IF(AND($AJ$151="El",$D$107="Ingår i mätdata hushållsel"),AD153-AO106,AD153))</f>
        <v>0</v>
      </c>
      <c r="AK153" s="164">
        <f>IF('Indata byggnad och BBR krav'!$C$17=0,0,IF(AND($AK$151="El",$D$107="Ingår i mätdata hushållsel"),AE153-AO106,AE153))</f>
        <v>0</v>
      </c>
      <c r="AL153" s="164">
        <f>IF('Indata byggnad och BBR krav'!$C$17=0,0,IF(AND(AL152="El",$D$107="Ingår i mätdata hushållsel"),AF153-AO106,AF153))</f>
        <v>0</v>
      </c>
      <c r="AM153" s="164">
        <f t="shared" si="235"/>
        <v>0</v>
      </c>
      <c r="AN153" s="237" t="str">
        <f t="shared" ref="AN153:AN163" si="238">IF(OR(AJ153&lt;0,AK153&lt;0,AL153&lt;0),"Fel i indata","")</f>
        <v/>
      </c>
      <c r="AO153" s="175"/>
      <c r="AP153" s="175"/>
      <c r="AQ153" s="175"/>
      <c r="AR153" s="175"/>
      <c r="AS153" s="175"/>
      <c r="AT153" s="175"/>
      <c r="AU153" s="175"/>
      <c r="AV153" s="175"/>
      <c r="AW153" s="175"/>
      <c r="AX153" s="175"/>
      <c r="BB153" s="30">
        <f t="shared" ref="BB153:BD163" si="239">AJ153</f>
        <v>0</v>
      </c>
      <c r="BC153" s="30">
        <f t="shared" si="239"/>
        <v>0</v>
      </c>
      <c r="BD153" s="30">
        <f t="shared" si="239"/>
        <v>0</v>
      </c>
      <c r="BE153" s="30">
        <f t="shared" si="236"/>
        <v>0</v>
      </c>
      <c r="BU153" s="22"/>
      <c r="BV153" s="22"/>
      <c r="BW153" s="22"/>
    </row>
    <row r="154" spans="2:75" ht="16.5" customHeight="1" x14ac:dyDescent="0.25">
      <c r="C154" s="34" t="s">
        <v>1278</v>
      </c>
      <c r="D154" s="242" t="s">
        <v>1281</v>
      </c>
      <c r="F154" s="34" t="s">
        <v>9</v>
      </c>
      <c r="G154" s="249">
        <f>$G$14</f>
        <v>2019</v>
      </c>
      <c r="H154" s="3"/>
      <c r="I154" s="33" t="s">
        <v>1209</v>
      </c>
      <c r="J154" s="242" t="s">
        <v>1085</v>
      </c>
      <c r="K154" s="3"/>
      <c r="L154" s="33" t="s">
        <v>1209</v>
      </c>
      <c r="M154" s="242" t="s">
        <v>1096</v>
      </c>
      <c r="N154" s="3"/>
      <c r="O154" s="33" t="s">
        <v>1209</v>
      </c>
      <c r="P154" s="242" t="s">
        <v>1085</v>
      </c>
      <c r="Q154" s="3"/>
      <c r="R154" s="3"/>
      <c r="S154" s="3"/>
      <c r="T154" s="3"/>
      <c r="U154" s="3"/>
      <c r="V154" s="3"/>
      <c r="Y154" s="164">
        <f>IF('Indata byggnad och BBR krav'!$C$18=0,0,(IF(AND(J$155=$Y$150, $J$154=$Y$151),I161,0)+IF(AND($M$155=$Y$150, $M$154=$Y$151),L161,0)+IF(AND($P$155=$Y$150, $P$154=$Y$151),O161,0)))</f>
        <v>0</v>
      </c>
      <c r="Z154" s="171">
        <f>IF('Indata byggnad och BBR krav'!$C$18=0,0,(IF(AND(J$155=$Y$150, $J$154=$Z$151),I161,0)+IF(AND($M$155=$Y$150, $M$154=$Z$151),L161,0)+IF(AND($P$155=$Y$150, $P$154=$Z$151),O161,0)))</f>
        <v>0</v>
      </c>
      <c r="AA154" s="171">
        <f>IF('Indata byggnad och BBR krav'!$C$18=0,0,(IF(AND(J$155=$Y$150, $J$154=$AA$151),I161,0)+IF(AND($M$155=$Y$150, $M$154=$AA$151),L161,0)+IF(AND($P$155=$Y$150, $P$154=$AA$151),O161,0)))</f>
        <v>0</v>
      </c>
      <c r="AB154" s="164">
        <f t="shared" si="237"/>
        <v>0</v>
      </c>
      <c r="AD154" s="164">
        <f t="shared" si="231"/>
        <v>0</v>
      </c>
      <c r="AE154" s="164">
        <f t="shared" si="232"/>
        <v>0</v>
      </c>
      <c r="AF154" s="164">
        <f t="shared" si="233"/>
        <v>0</v>
      </c>
      <c r="AG154" s="164">
        <f t="shared" si="234"/>
        <v>0</v>
      </c>
      <c r="AH154" s="175"/>
      <c r="AJ154" s="164">
        <f>IF('Indata byggnad och BBR krav'!$C$17=0,0,IF(AND($AJ$151="El",$D$107="Ingår i mätdata hushållsel"),AD154-AO107,AD154))</f>
        <v>0</v>
      </c>
      <c r="AK154" s="164">
        <f>IF('Indata byggnad och BBR krav'!$C$17=0,0,IF(AND($AK$151="El",$D$107="Ingår i mätdata hushållsel"),AE154-AO107,AE154))</f>
        <v>0</v>
      </c>
      <c r="AL154" s="164">
        <f>IF('Indata byggnad och BBR krav'!$C$17=0,0,IF(AND(AL153="El",$D$107="Ingår i mätdata hushållsel"),AF154-AO107,AF154))</f>
        <v>0</v>
      </c>
      <c r="AM154" s="164">
        <f t="shared" si="235"/>
        <v>0</v>
      </c>
      <c r="AN154" s="237" t="str">
        <f t="shared" si="238"/>
        <v/>
      </c>
      <c r="AO154" s="175"/>
      <c r="AP154" s="175"/>
      <c r="AQ154" s="175"/>
      <c r="AR154" s="175"/>
      <c r="AS154" s="175"/>
      <c r="AT154" s="175"/>
      <c r="AU154" s="175"/>
      <c r="AV154" s="175"/>
      <c r="AW154" s="175"/>
      <c r="AX154" s="175"/>
      <c r="BB154" s="30">
        <f t="shared" si="239"/>
        <v>0</v>
      </c>
      <c r="BC154" s="30">
        <f t="shared" si="239"/>
        <v>0</v>
      </c>
      <c r="BD154" s="30">
        <f t="shared" si="239"/>
        <v>0</v>
      </c>
      <c r="BE154" s="30">
        <f t="shared" si="236"/>
        <v>0</v>
      </c>
      <c r="BU154" s="22"/>
      <c r="BV154" s="22"/>
      <c r="BW154" s="22"/>
    </row>
    <row r="155" spans="2:75" ht="16.5" customHeight="1" x14ac:dyDescent="0.25">
      <c r="F155" s="34" t="s">
        <v>19</v>
      </c>
      <c r="G155" s="249" t="str">
        <f>$G$15</f>
        <v>jan</v>
      </c>
      <c r="H155" s="3"/>
      <c r="I155" s="33" t="s">
        <v>1139</v>
      </c>
      <c r="J155" s="242" t="s">
        <v>1157</v>
      </c>
      <c r="K155" s="3"/>
      <c r="L155" s="33" t="s">
        <v>1139</v>
      </c>
      <c r="M155" s="242"/>
      <c r="N155" s="3"/>
      <c r="O155" s="33" t="s">
        <v>1139</v>
      </c>
      <c r="P155" s="242"/>
      <c r="Q155" s="3"/>
      <c r="R155" s="3"/>
      <c r="S155" s="3"/>
      <c r="T155" s="3"/>
      <c r="U155" s="3"/>
      <c r="V155" s="3"/>
      <c r="Y155" s="164">
        <f>IF('Indata byggnad och BBR krav'!$C$18=0,0,(IF(AND(J$155=$Y$150, $J$154=$Y$151),I162,0)+IF(AND($M$155=$Y$150, $M$154=$Y$151),L162,0)+IF(AND($P$155=$Y$150, $P$154=$Y$151),O162,0)))</f>
        <v>0</v>
      </c>
      <c r="Z155" s="171">
        <f>IF('Indata byggnad och BBR krav'!$C$18=0,0,(IF(AND(J$155=$Y$150, $J$154=$Z$151),I162,0)+IF(AND($M$155=$Y$150, $M$154=$Z$151),L162,0)+IF(AND($P$155=$Y$150, $P$154=$Z$151),O162,0)))</f>
        <v>0</v>
      </c>
      <c r="AA155" s="171">
        <f>IF('Indata byggnad och BBR krav'!$C$18=0,0,(IF(AND(J$155=$Y$150, $J$154=$AA$151),I162,0)+IF(AND($M$155=$Y$150, $M$154=$AA$151),L162,0)+IF(AND($P$155=$Y$150, $P$154=$AA$151),O162,0)))</f>
        <v>0</v>
      </c>
      <c r="AB155" s="164">
        <f t="shared" si="237"/>
        <v>0</v>
      </c>
      <c r="AD155" s="164">
        <f t="shared" si="231"/>
        <v>0</v>
      </c>
      <c r="AE155" s="164">
        <f t="shared" si="232"/>
        <v>0</v>
      </c>
      <c r="AF155" s="164">
        <f t="shared" si="233"/>
        <v>0</v>
      </c>
      <c r="AG155" s="164">
        <f t="shared" si="234"/>
        <v>0</v>
      </c>
      <c r="AH155" s="175"/>
      <c r="AJ155" s="164">
        <f>IF('Indata byggnad och BBR krav'!$C$17=0,0,IF(AND($AJ$151="El",$D$107="Ingår i mätdata hushållsel"),AD155-AO108,AD155))</f>
        <v>0</v>
      </c>
      <c r="AK155" s="164">
        <f>IF('Indata byggnad och BBR krav'!$C$17=0,0,IF(AND($AK$151="El",$D$107="Ingår i mätdata hushållsel"),AE155-AO108,AE155))</f>
        <v>0</v>
      </c>
      <c r="AL155" s="164">
        <f>IF('Indata byggnad och BBR krav'!$C$17=0,0,IF(AND(AL154="El",$D$107="Ingår i mätdata hushållsel"),AF155-AO108,AF155))</f>
        <v>0</v>
      </c>
      <c r="AM155" s="164">
        <f t="shared" si="235"/>
        <v>0</v>
      </c>
      <c r="AN155" s="237" t="str">
        <f t="shared" si="238"/>
        <v/>
      </c>
      <c r="AO155" s="175"/>
      <c r="AP155" s="175"/>
      <c r="AQ155" s="175"/>
      <c r="AR155" s="175"/>
      <c r="AS155" s="175"/>
      <c r="AT155" s="175"/>
      <c r="AU155" s="175"/>
      <c r="AV155" s="175"/>
      <c r="AW155" s="175"/>
      <c r="AX155" s="175"/>
      <c r="BB155" s="30">
        <f t="shared" si="239"/>
        <v>0</v>
      </c>
      <c r="BC155" s="30">
        <f t="shared" si="239"/>
        <v>0</v>
      </c>
      <c r="BD155" s="30">
        <f t="shared" si="239"/>
        <v>0</v>
      </c>
      <c r="BE155" s="30">
        <f t="shared" si="236"/>
        <v>0</v>
      </c>
      <c r="BU155" s="22"/>
      <c r="BV155" s="22"/>
      <c r="BW155" s="22"/>
    </row>
    <row r="156" spans="2:75" ht="16.5" customHeight="1" x14ac:dyDescent="0.25">
      <c r="C156" s="33" t="s">
        <v>1050</v>
      </c>
      <c r="D156" s="242">
        <v>0</v>
      </c>
      <c r="F156" s="60"/>
      <c r="G156" s="60"/>
      <c r="H156" s="3"/>
      <c r="M156" s="17"/>
      <c r="Y156" s="164">
        <f>IF('Indata byggnad och BBR krav'!$C$18=0,0,(IF(AND(J$155=$Y$150, $J$154=$Y$151),I163,0)+IF(AND($M$155=$Y$150, $M$154=$Y$151),L163,0)+IF(AND($P$155=$Y$150, $P$154=$Y$151),O163,0)))</f>
        <v>0</v>
      </c>
      <c r="Z156" s="171">
        <f>IF('Indata byggnad och BBR krav'!$C$18=0,0,(IF(AND(J$155=$Y$150, $J$154=$Z$151),I163,0)+IF(AND($M$155=$Y$150, $M$154=$Z$151),L163,0)+IF(AND($P$155=$Y$150, $P$154=$Z$151),O163,0)))</f>
        <v>0</v>
      </c>
      <c r="AA156" s="171">
        <f>IF('Indata byggnad och BBR krav'!$C$18=0,0,(IF(AND(J$155=$Y$150, $J$154=$AA$151),I163,0)+IF(AND($M$155=$Y$150, $M$154=$AA$151),L163,0)+IF(AND($P$155=$Y$150, $P$154=$AA$151),O163,0)))</f>
        <v>0</v>
      </c>
      <c r="AB156" s="164">
        <f t="shared" si="237"/>
        <v>0</v>
      </c>
      <c r="AD156" s="164">
        <f t="shared" si="231"/>
        <v>0</v>
      </c>
      <c r="AE156" s="164">
        <f t="shared" si="232"/>
        <v>0</v>
      </c>
      <c r="AF156" s="164">
        <f t="shared" si="233"/>
        <v>0</v>
      </c>
      <c r="AG156" s="164">
        <f t="shared" si="234"/>
        <v>0</v>
      </c>
      <c r="AH156" s="175"/>
      <c r="AJ156" s="164">
        <f>IF('Indata byggnad och BBR krav'!$C$17=0,0,IF(AND($AJ$151="El",$D$107="Ingår i mätdata hushållsel"),AD156-AO109,AD156))</f>
        <v>0</v>
      </c>
      <c r="AK156" s="164">
        <f>IF('Indata byggnad och BBR krav'!$C$17=0,0,IF(AND($AK$151="El",$D$107="Ingår i mätdata hushållsel"),AE156-AO109,AE156))</f>
        <v>0</v>
      </c>
      <c r="AL156" s="164">
        <f>IF('Indata byggnad och BBR krav'!$C$17=0,0,IF(AND(AL155="El",$D$107="Ingår i mätdata hushållsel"),AF156-AO109,AF156))</f>
        <v>0</v>
      </c>
      <c r="AM156" s="164">
        <f t="shared" si="235"/>
        <v>0</v>
      </c>
      <c r="AN156" s="237" t="str">
        <f t="shared" si="238"/>
        <v/>
      </c>
      <c r="AO156" s="175"/>
      <c r="AP156" s="175"/>
      <c r="AQ156" s="175"/>
      <c r="AR156" s="175"/>
      <c r="AS156" s="175"/>
      <c r="AT156" s="175"/>
      <c r="AU156" s="175"/>
      <c r="AV156" s="175"/>
      <c r="AW156" s="175"/>
      <c r="AX156" s="175"/>
      <c r="BB156" s="30">
        <f t="shared" si="239"/>
        <v>0</v>
      </c>
      <c r="BC156" s="30">
        <f t="shared" si="239"/>
        <v>0</v>
      </c>
      <c r="BD156" s="30">
        <f t="shared" si="239"/>
        <v>0</v>
      </c>
      <c r="BE156" s="30">
        <f t="shared" si="236"/>
        <v>0</v>
      </c>
      <c r="BU156" s="22"/>
      <c r="BV156" s="22"/>
      <c r="BW156" s="22"/>
    </row>
    <row r="157" spans="2:75" ht="16.5" customHeight="1" x14ac:dyDescent="0.25">
      <c r="C157" s="152" t="s">
        <v>1354</v>
      </c>
      <c r="G157" s="3"/>
      <c r="H157" s="3"/>
      <c r="I157" s="64"/>
      <c r="J157" s="40" t="s">
        <v>1132</v>
      </c>
      <c r="K157" s="40"/>
      <c r="L157" s="64"/>
      <c r="M157" s="40" t="s">
        <v>1132</v>
      </c>
      <c r="N157" s="40"/>
      <c r="O157" s="64"/>
      <c r="P157" s="40" t="s">
        <v>1132</v>
      </c>
      <c r="Q157" s="40"/>
      <c r="R157" s="40"/>
      <c r="S157" s="40"/>
      <c r="T157" s="40"/>
      <c r="U157" s="40"/>
      <c r="V157" s="40"/>
      <c r="Y157" s="164">
        <f>IF('Indata byggnad och BBR krav'!$C$18=0,0,(IF(AND(J$155=$Y$150, $J$154=$Y$151),I164,0)+IF(AND($M$155=$Y$150, $M$154=$Y$151),L164,0)+IF(AND($P$155=$Y$150, $P$154=$Y$151),O164,0)))</f>
        <v>0</v>
      </c>
      <c r="Z157" s="171">
        <f>IF('Indata byggnad och BBR krav'!$C$18=0,0,(IF(AND(J$155=$Y$150, $J$154=$Z$151),I164,0)+IF(AND($M$155=$Y$150, $M$154=$Z$151),L164,0)+IF(AND($P$155=$Y$150, $P$154=$Z$151),O164,0)))</f>
        <v>0</v>
      </c>
      <c r="AA157" s="171">
        <f>IF('Indata byggnad och BBR krav'!$C$18=0,0,(IF(AND(J$155=$Y$150, $J$154=$AA$151),I164,0)+IF(AND($M$155=$Y$150, $M$154=$AA$151),L164,0)+IF(AND($P$155=$Y$150, $P$154=$AA$151),O164,0)))</f>
        <v>0</v>
      </c>
      <c r="AB157" s="164">
        <f t="shared" si="237"/>
        <v>0</v>
      </c>
      <c r="AD157" s="164">
        <f t="shared" si="231"/>
        <v>0</v>
      </c>
      <c r="AE157" s="164">
        <f t="shared" si="232"/>
        <v>0</v>
      </c>
      <c r="AF157" s="164">
        <f t="shared" si="233"/>
        <v>0</v>
      </c>
      <c r="AG157" s="164">
        <f t="shared" si="234"/>
        <v>0</v>
      </c>
      <c r="AH157" s="175"/>
      <c r="AJ157" s="164">
        <f>IF('Indata byggnad och BBR krav'!$C$17=0,0,IF(AND($AJ$151="El",$D$107="Ingår i mätdata hushållsel"),AD157-AO110,AD157))</f>
        <v>0</v>
      </c>
      <c r="AK157" s="164">
        <f>IF('Indata byggnad och BBR krav'!$C$17=0,0,IF(AND($AK$151="El",$D$107="Ingår i mätdata hushållsel"),AE157-AO110,AE157))</f>
        <v>0</v>
      </c>
      <c r="AL157" s="164">
        <f>IF('Indata byggnad och BBR krav'!$C$17=0,0,IF(AND(AL156="El",$D$107="Ingår i mätdata hushållsel"),AF157-AO110,AF157))</f>
        <v>0</v>
      </c>
      <c r="AM157" s="164">
        <f t="shared" si="235"/>
        <v>0</v>
      </c>
      <c r="AN157" s="237" t="str">
        <f t="shared" si="238"/>
        <v/>
      </c>
      <c r="AO157" s="175"/>
      <c r="AP157" s="175"/>
      <c r="AQ157" s="175"/>
      <c r="AR157" s="175"/>
      <c r="AS157" s="175"/>
      <c r="AT157" s="175"/>
      <c r="AU157" s="175"/>
      <c r="AV157" s="175"/>
      <c r="AW157" s="175"/>
      <c r="AX157" s="175"/>
      <c r="BB157" s="30">
        <f t="shared" si="239"/>
        <v>0</v>
      </c>
      <c r="BC157" s="30">
        <f t="shared" si="239"/>
        <v>0</v>
      </c>
      <c r="BD157" s="30">
        <f t="shared" si="239"/>
        <v>0</v>
      </c>
      <c r="BE157" s="30">
        <f t="shared" si="236"/>
        <v>0</v>
      </c>
      <c r="BU157" s="22"/>
      <c r="BV157" s="22"/>
      <c r="BW157" s="22"/>
    </row>
    <row r="158" spans="2:75" ht="16.5" customHeight="1" x14ac:dyDescent="0.25">
      <c r="C158" s="351"/>
      <c r="D158" s="352"/>
      <c r="F158" s="262" t="s">
        <v>1044</v>
      </c>
      <c r="G158" s="262" t="s">
        <v>1045</v>
      </c>
      <c r="H158" s="3"/>
      <c r="I158" s="23" t="s">
        <v>1075</v>
      </c>
      <c r="J158" s="262" t="s">
        <v>1075</v>
      </c>
      <c r="K158" s="3"/>
      <c r="L158" s="23" t="s">
        <v>1075</v>
      </c>
      <c r="M158" s="262" t="s">
        <v>1075</v>
      </c>
      <c r="N158" s="3"/>
      <c r="O158" s="23" t="s">
        <v>1075</v>
      </c>
      <c r="P158" s="262" t="s">
        <v>1075</v>
      </c>
      <c r="Q158" s="3"/>
      <c r="R158" s="3"/>
      <c r="S158" s="3"/>
      <c r="T158" s="3"/>
      <c r="U158" s="3"/>
      <c r="V158" s="3"/>
      <c r="Y158" s="164">
        <f>IF('Indata byggnad och BBR krav'!$C$18=0,0,(IF(AND(J$155=$Y$150, $J$154=$Y$151),I165,0)+IF(AND($M$155=$Y$150, $M$154=$Y$151),L165,0)+IF(AND($P$155=$Y$150, $P$154=$Y$151),O165,0)))</f>
        <v>0</v>
      </c>
      <c r="Z158" s="171">
        <f>IF('Indata byggnad och BBR krav'!$C$18=0,0,(IF(AND(J$155=$Y$150, $J$154=$Z$151),I165,0)+IF(AND($M$155=$Y$150, $M$154=$Z$151),L165,0)+IF(AND($P$155=$Y$150, $P$154=$Z$151),O165,0)))</f>
        <v>0</v>
      </c>
      <c r="AA158" s="171">
        <f>IF('Indata byggnad och BBR krav'!$C$18=0,0,(IF(AND(J$155=$Y$150, $J$154=$AA$151),I165,0)+IF(AND($M$155=$Y$150, $M$154=$AA$151),L165,0)+IF(AND($P$155=$Y$150, $P$154=$AA$151),O165,0)))</f>
        <v>0</v>
      </c>
      <c r="AB158" s="164">
        <f t="shared" si="237"/>
        <v>0</v>
      </c>
      <c r="AD158" s="164">
        <f t="shared" si="231"/>
        <v>0</v>
      </c>
      <c r="AE158" s="164">
        <f t="shared" si="232"/>
        <v>0</v>
      </c>
      <c r="AF158" s="164">
        <f t="shared" si="233"/>
        <v>0</v>
      </c>
      <c r="AG158" s="164">
        <f t="shared" si="234"/>
        <v>0</v>
      </c>
      <c r="AH158" s="175"/>
      <c r="AJ158" s="164">
        <f>IF('Indata byggnad och BBR krav'!$C$17=0,0,IF(AND($AJ$151="El",$D$107="Ingår i mätdata hushållsel"),AD158-AO111,AD158))</f>
        <v>0</v>
      </c>
      <c r="AK158" s="164">
        <f>IF('Indata byggnad och BBR krav'!$C$17=0,0,IF(AND($AK$151="El",$D$107="Ingår i mätdata hushållsel"),AE158-AO111,AE158))</f>
        <v>0</v>
      </c>
      <c r="AL158" s="164">
        <f>IF('Indata byggnad och BBR krav'!$C$17=0,0,IF(AND(AL157="El",$D$107="Ingår i mätdata hushållsel"),AF158-AO111,AF158))</f>
        <v>0</v>
      </c>
      <c r="AM158" s="164">
        <f t="shared" si="235"/>
        <v>0</v>
      </c>
      <c r="AN158" s="237" t="str">
        <f t="shared" si="238"/>
        <v/>
      </c>
      <c r="AO158" s="175"/>
      <c r="AP158" s="175"/>
      <c r="AQ158" s="175"/>
      <c r="AR158" s="175"/>
      <c r="AS158" s="175"/>
      <c r="AT158" s="175"/>
      <c r="AU158" s="175"/>
      <c r="AV158" s="175"/>
      <c r="AW158" s="175"/>
      <c r="AX158" s="175"/>
      <c r="BB158" s="30">
        <f t="shared" si="239"/>
        <v>0</v>
      </c>
      <c r="BC158" s="30">
        <f t="shared" si="239"/>
        <v>0</v>
      </c>
      <c r="BD158" s="30">
        <f t="shared" si="239"/>
        <v>0</v>
      </c>
      <c r="BE158" s="30">
        <f t="shared" si="236"/>
        <v>0</v>
      </c>
      <c r="BU158" s="22"/>
      <c r="BV158" s="22"/>
      <c r="BW158" s="22"/>
    </row>
    <row r="159" spans="2:75" ht="16.5" customHeight="1" x14ac:dyDescent="0.25">
      <c r="C159" s="353"/>
      <c r="D159" s="354"/>
      <c r="E159" s="20"/>
      <c r="F159" s="249">
        <f>G154</f>
        <v>2019</v>
      </c>
      <c r="G159" s="249" t="str">
        <f t="shared" ref="G159:G170" ca="1" si="240">OFFSET($EI$2,$EI$43+ROW(F159)-ROW($F$159),0)</f>
        <v>jan</v>
      </c>
      <c r="H159" s="3"/>
      <c r="I159" s="41">
        <f t="shared" ref="I159:I170" si="241">IF(AND($D$156&gt;0,$D$154="Separat mätdata finns"),J159,0)</f>
        <v>0</v>
      </c>
      <c r="J159" s="259"/>
      <c r="K159" s="2"/>
      <c r="L159" s="41">
        <f t="shared" ref="L159:L170" si="242">IF(AND($D$156&gt;1,$D$154="Separat mätdata finns"),M159,0)</f>
        <v>0</v>
      </c>
      <c r="M159" s="259"/>
      <c r="N159" s="2"/>
      <c r="O159" s="41">
        <f t="shared" ref="O159:O170" si="243">IF(AND($D$156&gt;2,$D$154="Separat mätdata finns"),P159,0)</f>
        <v>0</v>
      </c>
      <c r="P159" s="259"/>
      <c r="Q159" s="2"/>
      <c r="R159" s="2"/>
      <c r="S159" s="2"/>
      <c r="T159" s="2"/>
      <c r="U159" s="2"/>
      <c r="V159" s="2"/>
      <c r="Y159" s="164">
        <f>IF('Indata byggnad och BBR krav'!$C$18=0,0,(IF(AND(J$155=$Y$150, $J$154=$Y$151),I166,0)+IF(AND($M$155=$Y$150, $M$154=$Y$151),L166,0)+IF(AND($P$155=$Y$150, $P$154=$Y$151),O166,0)))</f>
        <v>0</v>
      </c>
      <c r="Z159" s="171">
        <f>IF('Indata byggnad och BBR krav'!$C$18=0,0,(IF(AND(J$155=$Y$150, $J$154=$Z$151),I166,0)+IF(AND($M$155=$Y$150, $M$154=$Z$151),L166,0)+IF(AND($P$155=$Y$150, $P$154=$Z$151),O166,0)))</f>
        <v>0</v>
      </c>
      <c r="AA159" s="171">
        <f>IF('Indata byggnad och BBR krav'!$C$18=0,0,(IF(AND(J$155=$Y$150, $J$154=$AA$151),I166,0)+IF(AND($M$155=$Y$150, $M$154=$AA$151),L166,0)+IF(AND($P$155=$Y$150, $P$154=$AA$151),O166,0)))</f>
        <v>0</v>
      </c>
      <c r="AB159" s="164">
        <f t="shared" si="237"/>
        <v>0</v>
      </c>
      <c r="AD159" s="164">
        <f t="shared" si="231"/>
        <v>0</v>
      </c>
      <c r="AE159" s="164">
        <f t="shared" si="232"/>
        <v>0</v>
      </c>
      <c r="AF159" s="164">
        <f t="shared" si="233"/>
        <v>0</v>
      </c>
      <c r="AG159" s="164">
        <f t="shared" si="234"/>
        <v>0</v>
      </c>
      <c r="AH159" s="175"/>
      <c r="AJ159" s="164">
        <f>IF('Indata byggnad och BBR krav'!$C$17=0,0,IF(AND($AJ$151="El",$D$107="Ingår i mätdata hushållsel"),AD159-AO112,AD159))</f>
        <v>0</v>
      </c>
      <c r="AK159" s="164">
        <f>IF('Indata byggnad och BBR krav'!$C$17=0,0,IF(AND($AK$151="El",$D$107="Ingår i mätdata hushållsel"),AE159-AO112,AE159))</f>
        <v>0</v>
      </c>
      <c r="AL159" s="164">
        <f>IF('Indata byggnad och BBR krav'!$C$17=0,0,IF(AND(AL158="El",$D$107="Ingår i mätdata hushållsel"),AF159-AO112,AF159))</f>
        <v>0</v>
      </c>
      <c r="AM159" s="164">
        <f t="shared" si="235"/>
        <v>0</v>
      </c>
      <c r="AN159" s="237" t="str">
        <f t="shared" si="238"/>
        <v/>
      </c>
      <c r="AO159" s="175"/>
      <c r="AP159" s="175"/>
      <c r="AQ159" s="175"/>
      <c r="AR159" s="175"/>
      <c r="AS159" s="175"/>
      <c r="AT159" s="175"/>
      <c r="AU159" s="175"/>
      <c r="AV159" s="175"/>
      <c r="AW159" s="175"/>
      <c r="AX159" s="175"/>
      <c r="BB159" s="30">
        <f t="shared" si="239"/>
        <v>0</v>
      </c>
      <c r="BC159" s="30">
        <f t="shared" si="239"/>
        <v>0</v>
      </c>
      <c r="BD159" s="30">
        <f t="shared" si="239"/>
        <v>0</v>
      </c>
      <c r="BE159" s="30">
        <f t="shared" si="236"/>
        <v>0</v>
      </c>
      <c r="BU159" s="22"/>
      <c r="BV159" s="22"/>
      <c r="BW159" s="22"/>
    </row>
    <row r="160" spans="2:75" ht="16.5" customHeight="1" x14ac:dyDescent="0.25">
      <c r="C160" s="355"/>
      <c r="D160" s="356"/>
      <c r="F160" s="249">
        <f ca="1">IF(G160="jan",F159+1,F159)</f>
        <v>2019</v>
      </c>
      <c r="G160" s="249" t="str">
        <f t="shared" ca="1" si="240"/>
        <v>feb</v>
      </c>
      <c r="H160" s="3"/>
      <c r="I160" s="41">
        <f t="shared" si="241"/>
        <v>0</v>
      </c>
      <c r="J160" s="259"/>
      <c r="K160" s="2"/>
      <c r="L160" s="41">
        <f t="shared" si="242"/>
        <v>0</v>
      </c>
      <c r="M160" s="259"/>
      <c r="N160" s="2"/>
      <c r="O160" s="41">
        <f t="shared" si="243"/>
        <v>0</v>
      </c>
      <c r="P160" s="259"/>
      <c r="Q160" s="2"/>
      <c r="R160" s="2"/>
      <c r="S160" s="2"/>
      <c r="T160" s="2"/>
      <c r="U160" s="2"/>
      <c r="V160" s="2"/>
      <c r="Y160" s="164">
        <f>IF('Indata byggnad och BBR krav'!$C$18=0,0,(IF(AND(J$155=$Y$150, $J$154=$Y$151),I167,0)+IF(AND($M$155=$Y$150, $M$154=$Y$151),L167,0)+IF(AND($P$155=$Y$150, $P$154=$Y$151),O167,0)))</f>
        <v>0</v>
      </c>
      <c r="Z160" s="171">
        <f>IF('Indata byggnad och BBR krav'!$C$18=0,0,(IF(AND(J$155=$Y$150, $J$154=$Z$151),I167,0)+IF(AND($M$155=$Y$150, $M$154=$Z$151),L167,0)+IF(AND($P$155=$Y$150, $P$154=$Z$151),O167,0)))</f>
        <v>0</v>
      </c>
      <c r="AA160" s="171">
        <f>IF('Indata byggnad och BBR krav'!$C$18=0,0,(IF(AND(J$155=$Y$150, $J$154=$AA$151),I167,0)+IF(AND($M$155=$Y$150, $M$154=$AA$151),L167,0)+IF(AND($P$155=$Y$150, $P$154=$AA$151),O167,0)))</f>
        <v>0</v>
      </c>
      <c r="AB160" s="164">
        <f t="shared" si="237"/>
        <v>0</v>
      </c>
      <c r="AD160" s="164">
        <f t="shared" si="231"/>
        <v>0</v>
      </c>
      <c r="AE160" s="164">
        <f t="shared" si="232"/>
        <v>0</v>
      </c>
      <c r="AF160" s="164">
        <f t="shared" si="233"/>
        <v>0</v>
      </c>
      <c r="AG160" s="164">
        <f t="shared" si="234"/>
        <v>0</v>
      </c>
      <c r="AH160" s="175"/>
      <c r="AJ160" s="164">
        <f>IF('Indata byggnad och BBR krav'!$C$17=0,0,IF(AND($AJ$151="El",$D$107="Ingår i mätdata hushållsel"),AD160-AO113,AD160))</f>
        <v>0</v>
      </c>
      <c r="AK160" s="164">
        <f>IF('Indata byggnad och BBR krav'!$C$17=0,0,IF(AND($AK$151="El",$D$107="Ingår i mätdata hushållsel"),AE160-AO113,AE160))</f>
        <v>0</v>
      </c>
      <c r="AL160" s="164">
        <f>IF('Indata byggnad och BBR krav'!$C$17=0,0,IF(AND(AL159="El",$D$107="Ingår i mätdata hushållsel"),AF160-AO113,AF160))</f>
        <v>0</v>
      </c>
      <c r="AM160" s="164">
        <f t="shared" si="235"/>
        <v>0</v>
      </c>
      <c r="AN160" s="237" t="str">
        <f t="shared" si="238"/>
        <v/>
      </c>
      <c r="AO160" s="175"/>
      <c r="AP160" s="175"/>
      <c r="AQ160" s="175"/>
      <c r="AR160" s="175"/>
      <c r="AS160" s="175"/>
      <c r="AT160" s="175"/>
      <c r="AU160" s="175"/>
      <c r="AV160" s="175"/>
      <c r="AW160" s="175"/>
      <c r="AX160" s="175"/>
      <c r="BB160" s="30">
        <f t="shared" si="239"/>
        <v>0</v>
      </c>
      <c r="BC160" s="30">
        <f t="shared" si="239"/>
        <v>0</v>
      </c>
      <c r="BD160" s="30">
        <f t="shared" si="239"/>
        <v>0</v>
      </c>
      <c r="BE160" s="30">
        <f t="shared" si="236"/>
        <v>0</v>
      </c>
      <c r="BU160" s="22"/>
      <c r="BV160" s="22"/>
      <c r="BW160" s="22"/>
    </row>
    <row r="161" spans="2:75" ht="16.5" customHeight="1" x14ac:dyDescent="0.25">
      <c r="F161" s="249">
        <f t="shared" ref="F161:F170" ca="1" si="244">IF(G161="jan",F160+1,F160)</f>
        <v>2019</v>
      </c>
      <c r="G161" s="249" t="str">
        <f t="shared" ca="1" si="240"/>
        <v>mars</v>
      </c>
      <c r="H161" s="3"/>
      <c r="I161" s="41">
        <f t="shared" si="241"/>
        <v>0</v>
      </c>
      <c r="J161" s="259"/>
      <c r="K161" s="2"/>
      <c r="L161" s="41">
        <f t="shared" si="242"/>
        <v>0</v>
      </c>
      <c r="M161" s="259"/>
      <c r="N161" s="2"/>
      <c r="O161" s="41">
        <f t="shared" si="243"/>
        <v>0</v>
      </c>
      <c r="P161" s="259"/>
      <c r="Q161" s="2"/>
      <c r="R161" s="2"/>
      <c r="S161" s="2"/>
      <c r="T161" s="2"/>
      <c r="U161" s="2"/>
      <c r="V161" s="2"/>
      <c r="Y161" s="164">
        <f>IF('Indata byggnad och BBR krav'!$C$18=0,0,(IF(AND(J$155=$Y$150, $J$154=$Y$151),I168,0)+IF(AND($M$155=$Y$150, $M$154=$Y$151),L168,0)+IF(AND($P$155=$Y$150, $P$154=$Y$151),O168,0)))</f>
        <v>0</v>
      </c>
      <c r="Z161" s="171">
        <f>IF('Indata byggnad och BBR krav'!$C$18=0,0,(IF(AND(J$155=$Y$150, $J$154=$Z$151),I168,0)+IF(AND($M$155=$Y$150, $M$154=$Z$151),L168,0)+IF(AND($P$155=$Y$150, $P$154=$Z$151),O168,0)))</f>
        <v>0</v>
      </c>
      <c r="AA161" s="171">
        <f>IF('Indata byggnad och BBR krav'!$C$18=0,0,(IF(AND(J$155=$Y$150, $J$154=$AA$151),I168,0)+IF(AND($M$155=$Y$150, $M$154=$AA$151),L168,0)+IF(AND($P$155=$Y$150, $P$154=$AA$151),O168,0)))</f>
        <v>0</v>
      </c>
      <c r="AB161" s="164">
        <f t="shared" si="237"/>
        <v>0</v>
      </c>
      <c r="AD161" s="164">
        <f t="shared" si="231"/>
        <v>0</v>
      </c>
      <c r="AE161" s="164">
        <f t="shared" si="232"/>
        <v>0</v>
      </c>
      <c r="AF161" s="164">
        <f t="shared" si="233"/>
        <v>0</v>
      </c>
      <c r="AG161" s="164">
        <f t="shared" si="234"/>
        <v>0</v>
      </c>
      <c r="AH161" s="175"/>
      <c r="AJ161" s="164">
        <f>IF('Indata byggnad och BBR krav'!$C$17=0,0,IF(AND($AJ$151="El",$D$107="Ingår i mätdata hushållsel"),AD161-AO114,AD161))</f>
        <v>0</v>
      </c>
      <c r="AK161" s="164">
        <f>IF('Indata byggnad och BBR krav'!$C$17=0,0,IF(AND($AK$151="El",$D$107="Ingår i mätdata hushållsel"),AE161-AO114,AE161))</f>
        <v>0</v>
      </c>
      <c r="AL161" s="164">
        <f>IF('Indata byggnad och BBR krav'!$C$17=0,0,IF(AND(AL160="El",$D$107="Ingår i mätdata hushållsel"),AF161-AO114,AF161))</f>
        <v>0</v>
      </c>
      <c r="AM161" s="164">
        <f t="shared" si="235"/>
        <v>0</v>
      </c>
      <c r="AN161" s="237" t="str">
        <f t="shared" si="238"/>
        <v/>
      </c>
      <c r="AO161" s="175"/>
      <c r="AP161" s="175"/>
      <c r="AQ161" s="175"/>
      <c r="AR161" s="175"/>
      <c r="AS161" s="175"/>
      <c r="AT161" s="175"/>
      <c r="AU161" s="175"/>
      <c r="AV161" s="175"/>
      <c r="AW161" s="175"/>
      <c r="AX161" s="175"/>
      <c r="BB161" s="30">
        <f t="shared" si="239"/>
        <v>0</v>
      </c>
      <c r="BC161" s="30">
        <f t="shared" si="239"/>
        <v>0</v>
      </c>
      <c r="BD161" s="30">
        <f t="shared" si="239"/>
        <v>0</v>
      </c>
      <c r="BE161" s="30">
        <f t="shared" si="236"/>
        <v>0</v>
      </c>
      <c r="BU161" s="22"/>
      <c r="BV161" s="22"/>
      <c r="BW161" s="22"/>
    </row>
    <row r="162" spans="2:75" ht="16.5" customHeight="1" x14ac:dyDescent="0.25">
      <c r="F162" s="249">
        <f t="shared" ca="1" si="244"/>
        <v>2019</v>
      </c>
      <c r="G162" s="249" t="str">
        <f t="shared" ca="1" si="240"/>
        <v>apr</v>
      </c>
      <c r="H162" s="3"/>
      <c r="I162" s="41">
        <f t="shared" si="241"/>
        <v>0</v>
      </c>
      <c r="J162" s="259"/>
      <c r="K162" s="2"/>
      <c r="L162" s="41">
        <f t="shared" si="242"/>
        <v>0</v>
      </c>
      <c r="M162" s="259"/>
      <c r="N162" s="2"/>
      <c r="O162" s="41">
        <f t="shared" si="243"/>
        <v>0</v>
      </c>
      <c r="P162" s="259"/>
      <c r="Q162" s="2"/>
      <c r="R162" s="2"/>
      <c r="S162" s="2"/>
      <c r="T162" s="2"/>
      <c r="U162" s="2"/>
      <c r="V162" s="2"/>
      <c r="Y162" s="164">
        <f>IF('Indata byggnad och BBR krav'!$C$18=0,0,(IF(AND(J$155=$Y$150, $J$154=$Y$151),I169,0)+IF(AND($M$155=$Y$150, $M$154=$Y$151),L169,0)+IF(AND($P$155=$Y$150, $P$154=$Y$151),O169,0)))</f>
        <v>0</v>
      </c>
      <c r="Z162" s="171">
        <f>IF('Indata byggnad och BBR krav'!$C$18=0,0,(IF(AND(J$155=$Y$150, $J$154=$Z$151),I169,0)+IF(AND($M$155=$Y$150, $M$154=$Z$151),L169,0)+IF(AND($P$155=$Y$150, $P$154=$Z$151),O169,0)))</f>
        <v>0</v>
      </c>
      <c r="AA162" s="171">
        <f>IF('Indata byggnad och BBR krav'!$C$18=0,0,(IF(AND(J$155=$Y$150, $J$154=$AA$151),I169,0)+IF(AND($M$155=$Y$150, $M$154=$AA$151),L169,0)+IF(AND($P$155=$Y$150, $P$154=$AA$151),O169,0)))</f>
        <v>0</v>
      </c>
      <c r="AB162" s="164">
        <f t="shared" si="237"/>
        <v>0</v>
      </c>
      <c r="AD162" s="164">
        <f t="shared" si="231"/>
        <v>0</v>
      </c>
      <c r="AE162" s="164">
        <f t="shared" si="232"/>
        <v>0</v>
      </c>
      <c r="AF162" s="164">
        <f t="shared" si="233"/>
        <v>0</v>
      </c>
      <c r="AG162" s="164">
        <f t="shared" si="234"/>
        <v>0</v>
      </c>
      <c r="AH162" s="175"/>
      <c r="AJ162" s="164">
        <f>IF('Indata byggnad och BBR krav'!$C$17=0,0,IF(AND($AJ$151="El",$D$107="Ingår i mätdata hushållsel"),AD162-AO115,AD162))</f>
        <v>0</v>
      </c>
      <c r="AK162" s="164">
        <f>IF('Indata byggnad och BBR krav'!$C$17=0,0,IF(AND($AK$151="El",$D$107="Ingår i mätdata hushållsel"),AE162-AO115,AE162))</f>
        <v>0</v>
      </c>
      <c r="AL162" s="164">
        <f>IF('Indata byggnad och BBR krav'!$C$17=0,0,IF(AND(AL161="El",$D$107="Ingår i mätdata hushållsel"),AF162-AO115,AF162))</f>
        <v>0</v>
      </c>
      <c r="AM162" s="164">
        <f t="shared" si="235"/>
        <v>0</v>
      </c>
      <c r="AN162" s="237" t="str">
        <f t="shared" si="238"/>
        <v/>
      </c>
      <c r="AO162" s="175"/>
      <c r="AP162" s="175"/>
      <c r="AQ162" s="175"/>
      <c r="AR162" s="175"/>
      <c r="AS162" s="175"/>
      <c r="AT162" s="175"/>
      <c r="AU162" s="175"/>
      <c r="AV162" s="175"/>
      <c r="AW162" s="175"/>
      <c r="AX162" s="175"/>
      <c r="BB162" s="30">
        <f t="shared" si="239"/>
        <v>0</v>
      </c>
      <c r="BC162" s="30">
        <f t="shared" si="239"/>
        <v>0</v>
      </c>
      <c r="BD162" s="30">
        <f t="shared" si="239"/>
        <v>0</v>
      </c>
      <c r="BE162" s="30">
        <f t="shared" si="236"/>
        <v>0</v>
      </c>
      <c r="BU162" s="22"/>
      <c r="BV162" s="22"/>
      <c r="BW162" s="22"/>
    </row>
    <row r="163" spans="2:75" ht="16.5" customHeight="1" thickBot="1" x14ac:dyDescent="0.3">
      <c r="F163" s="249">
        <f t="shared" ca="1" si="244"/>
        <v>2019</v>
      </c>
      <c r="G163" s="249" t="str">
        <f t="shared" ca="1" si="240"/>
        <v>maj</v>
      </c>
      <c r="H163" s="3"/>
      <c r="I163" s="41">
        <f t="shared" si="241"/>
        <v>0</v>
      </c>
      <c r="J163" s="259"/>
      <c r="K163" s="2"/>
      <c r="L163" s="41">
        <f t="shared" si="242"/>
        <v>0</v>
      </c>
      <c r="M163" s="259"/>
      <c r="N163" s="2"/>
      <c r="O163" s="41">
        <f t="shared" si="243"/>
        <v>0</v>
      </c>
      <c r="P163" s="259"/>
      <c r="Q163" s="2"/>
      <c r="R163" s="2"/>
      <c r="S163" s="2"/>
      <c r="T163" s="2"/>
      <c r="U163" s="2"/>
      <c r="V163" s="2"/>
      <c r="Y163" s="164">
        <f>IF('Indata byggnad och BBR krav'!$C$18=0,0,(IF(AND(J$155=$Y$150, $J$154=$Y$151),I170,0)+IF(AND($M$155=$Y$150, $M$154=$Y$151),L170,0)+IF(AND($P$155=$Y$150, $P$154=$Y$151),O170,0)))</f>
        <v>0</v>
      </c>
      <c r="Z163" s="171">
        <f>IF('Indata byggnad och BBR krav'!$C$18=0,0,(IF(AND(J$155=$Y$150, $J$154=$Z$151),I170,0)+IF(AND($M$155=$Y$150, $M$154=$Z$151),L170,0)+IF(AND($P$155=$Y$150, $P$154=$Z$151),O170,0)))</f>
        <v>0</v>
      </c>
      <c r="AA163" s="171">
        <f>IF('Indata byggnad och BBR krav'!$C$18=0,0,(IF(AND(J$155=$Y$150, $J$154=$AA$151),I170,0)+IF(AND($M$155=$Y$150, $M$154=$AA$151),L170,0)+IF(AND($P$155=$Y$150, $P$154=$AA$151),O170,0)))</f>
        <v>0</v>
      </c>
      <c r="AB163" s="239">
        <f t="shared" si="237"/>
        <v>0</v>
      </c>
      <c r="AD163" s="165">
        <f t="shared" si="231"/>
        <v>0</v>
      </c>
      <c r="AE163" s="165">
        <f t="shared" si="232"/>
        <v>0</v>
      </c>
      <c r="AF163" s="165">
        <f t="shared" si="233"/>
        <v>0</v>
      </c>
      <c r="AG163" s="239">
        <f t="shared" si="234"/>
        <v>0</v>
      </c>
      <c r="AH163" s="175"/>
      <c r="AJ163" s="165">
        <f>IF('Indata byggnad och BBR krav'!$C$17=0,0,IF(AND($AJ$151="El",$D$107="Ingår i mätdata hushållsel"),AD163-AO116,AD163))</f>
        <v>0</v>
      </c>
      <c r="AK163" s="165">
        <f>IF('Indata byggnad och BBR krav'!$C$17=0,0,IF(AND($AK$151="El",$D$107="Ingår i mätdata hushållsel"),AE163-AO116,AE163))</f>
        <v>0</v>
      </c>
      <c r="AL163" s="165">
        <f>IF('Indata byggnad och BBR krav'!$C$17=0,0,IF(AND(AL162="El",$D$107="Ingår i mätdata hushållsel"),AF163-AO116,AF163))</f>
        <v>0</v>
      </c>
      <c r="AM163" s="239">
        <f t="shared" si="235"/>
        <v>0</v>
      </c>
      <c r="AN163" s="237" t="str">
        <f t="shared" si="238"/>
        <v/>
      </c>
      <c r="AO163" s="175"/>
      <c r="AP163" s="175"/>
      <c r="AQ163" s="175"/>
      <c r="AR163" s="175"/>
      <c r="AS163" s="175"/>
      <c r="AT163" s="175"/>
      <c r="AU163" s="175"/>
      <c r="AV163" s="175"/>
      <c r="AW163" s="175"/>
      <c r="AX163" s="175"/>
      <c r="BB163" s="50">
        <f t="shared" si="239"/>
        <v>0</v>
      </c>
      <c r="BC163" s="50">
        <f t="shared" si="239"/>
        <v>0</v>
      </c>
      <c r="BD163" s="50">
        <f t="shared" si="239"/>
        <v>0</v>
      </c>
      <c r="BE163" s="50">
        <f t="shared" si="236"/>
        <v>0</v>
      </c>
      <c r="BV163" s="82"/>
    </row>
    <row r="164" spans="2:75" ht="16.5" customHeight="1" thickTop="1" thickBot="1" x14ac:dyDescent="0.3">
      <c r="F164" s="249">
        <f t="shared" ca="1" si="244"/>
        <v>2019</v>
      </c>
      <c r="G164" s="249" t="str">
        <f t="shared" ca="1" si="240"/>
        <v xml:space="preserve">jun </v>
      </c>
      <c r="H164" s="3"/>
      <c r="I164" s="41">
        <f t="shared" si="241"/>
        <v>0</v>
      </c>
      <c r="J164" s="259"/>
      <c r="K164" s="2"/>
      <c r="L164" s="41">
        <f t="shared" si="242"/>
        <v>0</v>
      </c>
      <c r="M164" s="259"/>
      <c r="N164" s="2"/>
      <c r="O164" s="41">
        <f t="shared" si="243"/>
        <v>0</v>
      </c>
      <c r="P164" s="259"/>
      <c r="Q164" s="2"/>
      <c r="R164" s="2"/>
      <c r="S164" s="2"/>
      <c r="T164" s="2"/>
      <c r="U164" s="2"/>
      <c r="V164" s="2"/>
      <c r="X164" s="110" t="s">
        <v>1098</v>
      </c>
      <c r="Y164" s="167">
        <f>SUM(Y152:Y163)</f>
        <v>0</v>
      </c>
      <c r="Z164" s="79">
        <f>SUM(Z152:Z163)</f>
        <v>0</v>
      </c>
      <c r="AA164" s="81">
        <f>SUM(AA152:AA163)</f>
        <v>0</v>
      </c>
      <c r="AB164" s="170">
        <f>SUM(AB152:AB163)</f>
        <v>0</v>
      </c>
      <c r="AD164" s="167">
        <f>SUM(AD152:AD163)</f>
        <v>0</v>
      </c>
      <c r="AE164" s="167">
        <f>SUM(AE152:AE163)</f>
        <v>0</v>
      </c>
      <c r="AF164" s="81">
        <f>SUM(AF152:AF163)</f>
        <v>0</v>
      </c>
      <c r="AG164" s="72">
        <f>SUM(AG152:AG163)</f>
        <v>0</v>
      </c>
      <c r="AH164" s="175"/>
      <c r="AJ164" s="167">
        <f>SUM(AJ152:AJ163)</f>
        <v>0</v>
      </c>
      <c r="AK164" s="167">
        <f>SUM(AK152:AK163)</f>
        <v>0</v>
      </c>
      <c r="AL164" s="81">
        <f>SUM(AL152:AL163)</f>
        <v>0</v>
      </c>
      <c r="AM164" s="72">
        <f>SUM(AM152:AM163)</f>
        <v>0</v>
      </c>
      <c r="AN164" s="175"/>
      <c r="AO164" s="175"/>
      <c r="AP164" s="175"/>
      <c r="AQ164" s="175"/>
      <c r="AR164" s="175"/>
      <c r="AS164" s="175"/>
      <c r="AT164" s="175"/>
      <c r="AU164" s="175"/>
      <c r="AV164" s="175"/>
      <c r="AW164" s="175"/>
      <c r="AX164" s="175"/>
      <c r="BA164" s="24" t="s">
        <v>1098</v>
      </c>
      <c r="BB164" s="52">
        <f>SUM(BB152:BB163)</f>
        <v>0</v>
      </c>
      <c r="BC164" s="77">
        <f>SUM(BC152:BC163)</f>
        <v>0</v>
      </c>
      <c r="BD164" s="77">
        <f>SUM(BD152:BD163)</f>
        <v>0</v>
      </c>
      <c r="BE164" s="52">
        <f>SUM(BE152:BE163)</f>
        <v>0</v>
      </c>
    </row>
    <row r="165" spans="2:75" ht="16.5" customHeight="1" thickBot="1" x14ac:dyDescent="0.3">
      <c r="F165" s="249">
        <f t="shared" ca="1" si="244"/>
        <v>2019</v>
      </c>
      <c r="G165" s="249" t="str">
        <f t="shared" ca="1" si="240"/>
        <v>jul</v>
      </c>
      <c r="H165" s="3"/>
      <c r="I165" s="41">
        <f t="shared" si="241"/>
        <v>0</v>
      </c>
      <c r="J165" s="259"/>
      <c r="K165" s="2"/>
      <c r="L165" s="41">
        <f t="shared" si="242"/>
        <v>0</v>
      </c>
      <c r="M165" s="259"/>
      <c r="N165" s="2"/>
      <c r="O165" s="41">
        <f t="shared" si="243"/>
        <v>0</v>
      </c>
      <c r="P165" s="259"/>
      <c r="Q165" s="2"/>
      <c r="R165" s="2"/>
      <c r="S165" s="2"/>
      <c r="T165" s="2"/>
      <c r="U165" s="2"/>
      <c r="V165" s="2"/>
      <c r="Y165" s="128"/>
      <c r="AA165" s="110" t="s">
        <v>1372</v>
      </c>
      <c r="AB165" s="196">
        <f>IF('Indata byggnad och BBR krav'!$C$18&gt;0,AB164*1000/('Indata byggnad och BBR krav'!$C$16*'Indata byggnad och BBR krav'!$C$18/100),0)</f>
        <v>0</v>
      </c>
      <c r="AC165" s="182" t="s">
        <v>1373</v>
      </c>
      <c r="AG165" s="175"/>
      <c r="AH165" s="175"/>
      <c r="AI165" s="175"/>
      <c r="AJ165" s="175"/>
      <c r="AK165" s="175"/>
      <c r="AL165" s="175"/>
      <c r="AM165" s="175"/>
      <c r="AN165" s="175"/>
      <c r="AO165" s="175"/>
      <c r="AP165" s="175"/>
      <c r="AQ165" s="175"/>
      <c r="AR165" s="175"/>
      <c r="AS165" s="175"/>
      <c r="AT165" s="175"/>
      <c r="AU165" s="175"/>
      <c r="AV165" s="175"/>
      <c r="AW165" s="175"/>
      <c r="AX165" s="175"/>
      <c r="BA165" s="22"/>
      <c r="BB165" s="22"/>
      <c r="BC165" s="22"/>
      <c r="BD165" s="22"/>
      <c r="BE165" s="22"/>
    </row>
    <row r="166" spans="2:75" ht="16.5" customHeight="1" thickBot="1" x14ac:dyDescent="0.3">
      <c r="F166" s="249">
        <f t="shared" ca="1" si="244"/>
        <v>2019</v>
      </c>
      <c r="G166" s="249" t="str">
        <f t="shared" ca="1" si="240"/>
        <v>aug</v>
      </c>
      <c r="H166" s="3"/>
      <c r="I166" s="41">
        <f t="shared" si="241"/>
        <v>0</v>
      </c>
      <c r="J166" s="259"/>
      <c r="K166" s="2"/>
      <c r="L166" s="41">
        <f t="shared" si="242"/>
        <v>0</v>
      </c>
      <c r="M166" s="259"/>
      <c r="N166" s="2"/>
      <c r="O166" s="41">
        <f t="shared" si="243"/>
        <v>0</v>
      </c>
      <c r="P166" s="259"/>
      <c r="Q166" s="2"/>
      <c r="R166" s="2"/>
      <c r="S166" s="2"/>
      <c r="T166" s="2"/>
      <c r="U166" s="2"/>
      <c r="V166" s="2"/>
      <c r="BC166" s="24" t="s">
        <v>1163</v>
      </c>
      <c r="BD166" s="170">
        <f>IF('Indata byggnad och BBR krav'!$C$17&gt;0,BE164*1000/('Indata byggnad och BBR krav'!$C$16*'Indata byggnad och BBR krav'!$C$17/100),0)</f>
        <v>0</v>
      </c>
      <c r="BE166" s="25" t="s">
        <v>1301</v>
      </c>
    </row>
    <row r="167" spans="2:75" ht="16.5" customHeight="1" x14ac:dyDescent="0.25">
      <c r="F167" s="249">
        <f t="shared" ca="1" si="244"/>
        <v>2019</v>
      </c>
      <c r="G167" s="249" t="str">
        <f t="shared" ca="1" si="240"/>
        <v>sept</v>
      </c>
      <c r="H167" s="3"/>
      <c r="I167" s="41">
        <f t="shared" si="241"/>
        <v>0</v>
      </c>
      <c r="J167" s="259"/>
      <c r="K167" s="2"/>
      <c r="L167" s="41">
        <f t="shared" si="242"/>
        <v>0</v>
      </c>
      <c r="M167" s="259"/>
      <c r="N167" s="2"/>
      <c r="O167" s="41">
        <f t="shared" si="243"/>
        <v>0</v>
      </c>
      <c r="P167" s="259"/>
      <c r="Q167" s="2"/>
      <c r="R167" s="2"/>
      <c r="S167" s="2"/>
      <c r="T167" s="2"/>
      <c r="U167" s="2"/>
      <c r="V167" s="2"/>
      <c r="BC167" s="24" t="s">
        <v>1164</v>
      </c>
      <c r="BD167" s="52">
        <v>30</v>
      </c>
      <c r="BE167" s="22"/>
    </row>
    <row r="168" spans="2:75" ht="16.5" customHeight="1" x14ac:dyDescent="0.25">
      <c r="F168" s="249">
        <f t="shared" ca="1" si="244"/>
        <v>2019</v>
      </c>
      <c r="G168" s="249" t="str">
        <f t="shared" ca="1" si="240"/>
        <v>okt</v>
      </c>
      <c r="H168" s="3"/>
      <c r="I168" s="41">
        <f t="shared" si="241"/>
        <v>0</v>
      </c>
      <c r="J168" s="259"/>
      <c r="K168" s="2"/>
      <c r="L168" s="41">
        <f t="shared" si="242"/>
        <v>0</v>
      </c>
      <c r="M168" s="259"/>
      <c r="N168" s="2"/>
      <c r="O168" s="41">
        <f t="shared" si="243"/>
        <v>0</v>
      </c>
      <c r="P168" s="259"/>
      <c r="Q168" s="2"/>
      <c r="R168" s="2"/>
      <c r="S168" s="2"/>
      <c r="T168" s="2"/>
      <c r="U168" s="2"/>
      <c r="V168" s="2"/>
      <c r="BC168" s="24" t="s">
        <v>1166</v>
      </c>
      <c r="BD168" s="30">
        <f>IF(BD166&gt;0,BD166-BD167,0)</f>
        <v>0</v>
      </c>
      <c r="BE168" s="22"/>
    </row>
    <row r="169" spans="2:75" ht="16.5" customHeight="1" x14ac:dyDescent="0.25">
      <c r="F169" s="249">
        <f t="shared" ca="1" si="244"/>
        <v>2019</v>
      </c>
      <c r="G169" s="249" t="str">
        <f t="shared" ca="1" si="240"/>
        <v>nov</v>
      </c>
      <c r="H169" s="3"/>
      <c r="I169" s="41">
        <f t="shared" si="241"/>
        <v>0</v>
      </c>
      <c r="J169" s="259"/>
      <c r="K169" s="2"/>
      <c r="L169" s="41">
        <f t="shared" si="242"/>
        <v>0</v>
      </c>
      <c r="M169" s="259"/>
      <c r="N169" s="2"/>
      <c r="O169" s="41">
        <f t="shared" si="243"/>
        <v>0</v>
      </c>
      <c r="P169" s="259"/>
      <c r="Q169" s="2"/>
      <c r="R169" s="2"/>
      <c r="S169" s="2"/>
      <c r="T169" s="2"/>
      <c r="U169" s="2"/>
      <c r="V169" s="2"/>
      <c r="Y169" s="86"/>
      <c r="BC169" s="24" t="s">
        <v>1165</v>
      </c>
      <c r="BD169" s="32" t="str">
        <f>IF(ABS(BD168)&gt;3,"Ja","Nej")</f>
        <v>Nej</v>
      </c>
    </row>
    <row r="170" spans="2:75" ht="16.5" customHeight="1" x14ac:dyDescent="0.25">
      <c r="F170" s="249">
        <f t="shared" ca="1" si="244"/>
        <v>2019</v>
      </c>
      <c r="G170" s="249" t="str">
        <f t="shared" ca="1" si="240"/>
        <v>dec</v>
      </c>
      <c r="H170" s="3"/>
      <c r="I170" s="41">
        <f t="shared" si="241"/>
        <v>0</v>
      </c>
      <c r="J170" s="259"/>
      <c r="K170" s="2"/>
      <c r="L170" s="41">
        <f t="shared" si="242"/>
        <v>0</v>
      </c>
      <c r="M170" s="259"/>
      <c r="N170" s="2"/>
      <c r="O170" s="41">
        <f t="shared" si="243"/>
        <v>0</v>
      </c>
      <c r="P170" s="259"/>
      <c r="Q170" s="2"/>
      <c r="R170" s="2"/>
      <c r="S170" s="2"/>
      <c r="T170" s="2"/>
      <c r="U170" s="2"/>
      <c r="V170" s="2"/>
      <c r="Y170" s="86"/>
      <c r="BC170" s="24" t="s">
        <v>1167</v>
      </c>
      <c r="BD170" s="29">
        <f ca="1">$BK$31</f>
        <v>2880</v>
      </c>
      <c r="BE170" s="83"/>
      <c r="BF170" s="26"/>
    </row>
    <row r="171" spans="2:75" ht="16.5" customHeight="1" x14ac:dyDescent="0.25">
      <c r="E171" s="20"/>
      <c r="I171" s="51">
        <f>SUM(I159:I170)</f>
        <v>0</v>
      </c>
      <c r="J171" s="51">
        <f>SUM(J159:J170)</f>
        <v>0</v>
      </c>
      <c r="L171" s="51">
        <f>SUM(L159:L170)</f>
        <v>0</v>
      </c>
      <c r="M171" s="51">
        <f>SUM(M159:M170)</f>
        <v>0</v>
      </c>
      <c r="O171" s="51">
        <f>SUM(O159:O170)</f>
        <v>0</v>
      </c>
      <c r="P171" s="51">
        <f>SUM(P159:P170)</f>
        <v>0</v>
      </c>
      <c r="BC171" s="24" t="s">
        <v>1203</v>
      </c>
      <c r="BD171" s="29">
        <f>IF(BD169="Ja",BD168*0.7*'Indata byggnad och BBR krav'!$C$16*('Indata byggnad och BBR krav'!$C$17/100)*(BD170/8760),0)</f>
        <v>0</v>
      </c>
      <c r="BF171" s="26"/>
    </row>
    <row r="172" spans="2:75" ht="16.5" customHeight="1" x14ac:dyDescent="0.25">
      <c r="E172" s="20"/>
      <c r="G172" s="241" t="str">
        <f>IF(OR(AN153="Fel i indata",AN154="Fel i indata",AN155="Fel i indata",AN156="Fel i indata",AN157="Fel i indata",AN158="Fel i indata",AN159="Fel i indata",AN160="Fel i indata",AN161="Fel i indata",AN162="Fel i indata",AN163="Fel i indata",AN152="Fel i indata"),"Fel i indata","")</f>
        <v/>
      </c>
      <c r="I172" s="17" t="str">
        <f>IF(G172="Fel i indata","OBS! Se över din indata, energi för hushållssenergi blir negativ efter avdrag för elgolvvärme om mätvärdena ingår i uppmätt hushållsenergi!","")</f>
        <v/>
      </c>
    </row>
    <row r="173" spans="2:75" ht="16.5" customHeight="1" x14ac:dyDescent="0.25">
      <c r="E173" s="20"/>
    </row>
    <row r="174" spans="2:75" ht="16.5" customHeight="1" x14ac:dyDescent="0.25">
      <c r="B174" s="267">
        <v>7</v>
      </c>
      <c r="C174" s="268" t="s">
        <v>1348</v>
      </c>
      <c r="D174" s="269"/>
      <c r="E174" s="269"/>
      <c r="F174" s="257"/>
      <c r="G174" s="257"/>
      <c r="H174" s="257"/>
      <c r="I174" s="257"/>
      <c r="J174" s="256"/>
      <c r="K174" s="256"/>
      <c r="L174" s="256"/>
      <c r="M174" s="257"/>
      <c r="N174" s="257"/>
      <c r="O174" s="257"/>
      <c r="P174" s="257"/>
      <c r="Q174" s="257"/>
      <c r="R174" s="257"/>
      <c r="S174" s="257"/>
      <c r="T174" s="257"/>
      <c r="U174" s="257"/>
      <c r="V174" s="257"/>
      <c r="W174" s="258"/>
    </row>
    <row r="175" spans="2:75" ht="16.5" hidden="1" customHeight="1" x14ac:dyDescent="0.25"/>
    <row r="176" spans="2:75" ht="21.75" customHeight="1" x14ac:dyDescent="0.25">
      <c r="C176" s="60"/>
      <c r="F176" s="152" t="s">
        <v>1354</v>
      </c>
    </row>
    <row r="177" spans="3:80" ht="17.25" customHeight="1" x14ac:dyDescent="0.25">
      <c r="C177" s="34" t="s">
        <v>1278</v>
      </c>
      <c r="D177" s="242" t="s">
        <v>1281</v>
      </c>
      <c r="F177" s="365"/>
      <c r="G177" s="366"/>
      <c r="H177" s="366"/>
      <c r="I177" s="366"/>
      <c r="J177" s="366"/>
      <c r="K177" s="366"/>
      <c r="L177" s="367"/>
    </row>
    <row r="178" spans="3:80" ht="17.25" customHeight="1" x14ac:dyDescent="0.25">
      <c r="F178" s="368"/>
      <c r="G178" s="369"/>
      <c r="H178" s="369"/>
      <c r="I178" s="369"/>
      <c r="J178" s="369"/>
      <c r="K178" s="369"/>
      <c r="L178" s="370"/>
    </row>
    <row r="179" spans="3:80" ht="17.25" customHeight="1" x14ac:dyDescent="0.25">
      <c r="C179" s="34" t="s">
        <v>1171</v>
      </c>
      <c r="D179" s="242" t="s">
        <v>1071</v>
      </c>
      <c r="F179" s="368"/>
      <c r="G179" s="369"/>
      <c r="H179" s="369"/>
      <c r="I179" s="369"/>
      <c r="J179" s="369"/>
      <c r="K179" s="369"/>
      <c r="L179" s="370"/>
    </row>
    <row r="180" spans="3:80" ht="17.25" customHeight="1" x14ac:dyDescent="0.25">
      <c r="C180" s="34" t="s">
        <v>1172</v>
      </c>
      <c r="D180" s="242" t="s">
        <v>1062</v>
      </c>
      <c r="F180" s="368"/>
      <c r="G180" s="369"/>
      <c r="H180" s="369"/>
      <c r="I180" s="369"/>
      <c r="J180" s="369"/>
      <c r="K180" s="369"/>
      <c r="L180" s="370"/>
    </row>
    <row r="181" spans="3:80" ht="17.25" customHeight="1" x14ac:dyDescent="0.25">
      <c r="F181" s="371"/>
      <c r="G181" s="372"/>
      <c r="H181" s="372"/>
      <c r="I181" s="372"/>
      <c r="J181" s="372"/>
      <c r="K181" s="372"/>
      <c r="L181" s="373"/>
    </row>
    <row r="182" spans="3:80" ht="17.25" customHeight="1" x14ac:dyDescent="0.25">
      <c r="C182" s="34" t="s">
        <v>1092</v>
      </c>
      <c r="D182" s="264"/>
    </row>
    <row r="183" spans="3:80" ht="17.25" customHeight="1" x14ac:dyDescent="0.35">
      <c r="C183" s="34" t="s">
        <v>1349</v>
      </c>
      <c r="D183" s="246"/>
    </row>
    <row r="184" spans="3:80" ht="17.25" customHeight="1" x14ac:dyDescent="0.25">
      <c r="C184" s="90" t="s">
        <v>1350</v>
      </c>
      <c r="D184" s="242"/>
      <c r="G184" s="3"/>
      <c r="H184" s="3"/>
      <c r="I184" s="3"/>
      <c r="J184" s="3"/>
      <c r="K184" s="3"/>
      <c r="L184" s="3"/>
    </row>
    <row r="185" spans="3:80" ht="17.25" customHeight="1" x14ac:dyDescent="0.25">
      <c r="D185" s="3"/>
    </row>
    <row r="186" spans="3:80" ht="17.25" customHeight="1" x14ac:dyDescent="0.25">
      <c r="C186" s="34" t="s">
        <v>1092</v>
      </c>
      <c r="D186" s="264"/>
    </row>
    <row r="187" spans="3:80" ht="17.25" customHeight="1" x14ac:dyDescent="0.35">
      <c r="C187" s="34" t="s">
        <v>1349</v>
      </c>
      <c r="D187" s="246"/>
      <c r="F187" s="17"/>
    </row>
    <row r="188" spans="3:80" ht="17.25" customHeight="1" x14ac:dyDescent="0.25">
      <c r="C188" s="90" t="s">
        <v>1350</v>
      </c>
      <c r="D188" s="242"/>
      <c r="BP188" s="91"/>
      <c r="BQ188" s="92"/>
      <c r="BU188" s="91"/>
      <c r="BV188" s="92"/>
    </row>
    <row r="189" spans="3:80" ht="17.25" customHeight="1" x14ac:dyDescent="0.25">
      <c r="D189" s="3"/>
      <c r="BP189" s="91"/>
      <c r="BQ189" s="92"/>
      <c r="CA189" s="91"/>
      <c r="CB189" s="92"/>
    </row>
    <row r="190" spans="3:80" ht="17.25" customHeight="1" x14ac:dyDescent="0.25">
      <c r="C190" s="34" t="s">
        <v>1092</v>
      </c>
      <c r="D190" s="264"/>
      <c r="BP190" s="91"/>
      <c r="BQ190" s="92"/>
      <c r="CA190" s="91"/>
      <c r="CB190" s="92"/>
    </row>
    <row r="191" spans="3:80" ht="17.25" customHeight="1" x14ac:dyDescent="0.35">
      <c r="C191" s="34" t="s">
        <v>1349</v>
      </c>
      <c r="D191" s="246"/>
    </row>
    <row r="192" spans="3:80" ht="17.25" customHeight="1" x14ac:dyDescent="0.25">
      <c r="C192" s="90" t="s">
        <v>1350</v>
      </c>
      <c r="D192" s="242"/>
    </row>
    <row r="193" spans="3:66" ht="17.25" customHeight="1" x14ac:dyDescent="0.25"/>
    <row r="194" spans="3:66" ht="17.25" customHeight="1" x14ac:dyDescent="0.25">
      <c r="C194" s="34" t="s">
        <v>1351</v>
      </c>
      <c r="D194" s="249">
        <f>('Indata byggnad och BBR krav'!$C$16*D183/100*D184+'Indata byggnad och BBR krav'!$C$16*D187/100*D188+'Indata byggnad och BBR krav'!$C$16*D191/100*D192)/'Indata byggnad och BBR krav'!$C$16</f>
        <v>0</v>
      </c>
    </row>
    <row r="195" spans="3:66" ht="17.25" customHeight="1" x14ac:dyDescent="0.25"/>
    <row r="196" spans="3:66" ht="17.25" customHeight="1" x14ac:dyDescent="0.25">
      <c r="C196" s="240" t="s">
        <v>1352</v>
      </c>
      <c r="D196" s="260">
        <f>IF('Indata byggnad och BBR krav'!$C$17&gt;0,IF('Indata byggnad och BBR krav'!$C$20="JA",22,21),"")</f>
        <v>21</v>
      </c>
    </row>
    <row r="197" spans="3:66" ht="17.25" hidden="1" customHeight="1" x14ac:dyDescent="0.25"/>
    <row r="198" spans="3:66" ht="17.25" customHeight="1" x14ac:dyDescent="0.25">
      <c r="C198" s="240" t="s">
        <v>1353</v>
      </c>
      <c r="D198" s="260">
        <v>21</v>
      </c>
    </row>
    <row r="200" spans="3:66" ht="14.45" customHeight="1" x14ac:dyDescent="0.25">
      <c r="D200" s="17" t="str">
        <f>IF(D183="","",(IF(OR((D183+D187+D191)&lt;100,(D183+D187+D191)&gt;100),"OBS! Summan av areaandel av Atemp i % ska vara 100%!","")))</f>
        <v/>
      </c>
      <c r="BC200" s="374" t="s">
        <v>1492</v>
      </c>
      <c r="BD200" s="374"/>
      <c r="BE200" s="374"/>
      <c r="BF200" s="374"/>
      <c r="BG200" s="374"/>
      <c r="BH200" s="374"/>
    </row>
    <row r="201" spans="3:66" ht="14.45" customHeight="1" x14ac:dyDescent="0.25">
      <c r="D201" s="17" t="str">
        <f>IF(D184="","",(IF(D194&lt;10,"OBS! Se över din indata, genomsnittlig inomhustemperatur kan inte vara lägre än 10 grader!","")))</f>
        <v/>
      </c>
      <c r="BC201" s="374"/>
      <c r="BD201" s="374"/>
      <c r="BE201" s="374"/>
      <c r="BF201" s="374"/>
      <c r="BG201" s="374"/>
      <c r="BH201" s="374"/>
    </row>
    <row r="202" spans="3:66" x14ac:dyDescent="0.25">
      <c r="AA202" s="86"/>
      <c r="BC202" s="374"/>
      <c r="BD202" s="374"/>
      <c r="BE202" s="374"/>
      <c r="BF202" s="374"/>
      <c r="BG202" s="374"/>
      <c r="BH202" s="374"/>
    </row>
    <row r="203" spans="3:66" x14ac:dyDescent="0.25">
      <c r="AA203" s="128"/>
      <c r="AC203" s="86"/>
    </row>
    <row r="204" spans="3:66" x14ac:dyDescent="0.25">
      <c r="AA204" s="86" t="s">
        <v>1197</v>
      </c>
      <c r="BD204" s="21"/>
      <c r="BE204" s="21" t="s">
        <v>1400</v>
      </c>
      <c r="BG204" s="21"/>
      <c r="BL204" s="21" t="s">
        <v>1401</v>
      </c>
    </row>
    <row r="205" spans="3:66" x14ac:dyDescent="0.25">
      <c r="BM205" s="26" t="s">
        <v>1402</v>
      </c>
    </row>
    <row r="206" spans="3:66" x14ac:dyDescent="0.25">
      <c r="AE206" s="84" t="s">
        <v>1402</v>
      </c>
    </row>
    <row r="207" spans="3:66" ht="18.75" x14ac:dyDescent="0.25">
      <c r="Z207" s="93" t="s">
        <v>1147</v>
      </c>
      <c r="AD207" s="94" t="s">
        <v>27</v>
      </c>
      <c r="BC207" s="321" t="s">
        <v>1481</v>
      </c>
      <c r="BF207" s="321" t="s">
        <v>1474</v>
      </c>
      <c r="BJ207" s="321" t="s">
        <v>1482</v>
      </c>
      <c r="BN207" s="321" t="s">
        <v>1475</v>
      </c>
    </row>
    <row r="208" spans="3:66" ht="18" x14ac:dyDescent="0.25">
      <c r="AF208" s="96"/>
      <c r="BC208" s="95" t="s">
        <v>1131</v>
      </c>
      <c r="BF208" s="95" t="s">
        <v>1131</v>
      </c>
      <c r="BJ208" s="95" t="s">
        <v>28</v>
      </c>
      <c r="BN208" s="95" t="s">
        <v>28</v>
      </c>
    </row>
    <row r="209" spans="26:68" ht="15.75" x14ac:dyDescent="0.25">
      <c r="Z209" s="97" t="s">
        <v>21</v>
      </c>
      <c r="AA209" s="98">
        <f>AA211+AA212+AA213+AA214</f>
        <v>0</v>
      </c>
      <c r="AD209" s="99" t="s">
        <v>21</v>
      </c>
      <c r="AE209" s="100">
        <f>AE211+AE212+AE213+AE214</f>
        <v>0</v>
      </c>
      <c r="AF209" s="101"/>
    </row>
    <row r="210" spans="26:68" x14ac:dyDescent="0.25">
      <c r="Z210" s="104" t="s">
        <v>29</v>
      </c>
      <c r="AA210" s="105"/>
      <c r="AD210" s="104" t="s">
        <v>29</v>
      </c>
      <c r="AE210" s="105"/>
      <c r="AF210" s="96"/>
      <c r="BC210" s="102" t="s">
        <v>21</v>
      </c>
      <c r="BD210" s="30">
        <f ca="1">BD212+BD213+BD214+BD215</f>
        <v>0</v>
      </c>
      <c r="BF210" s="102" t="s">
        <v>21</v>
      </c>
      <c r="BG210" s="30">
        <f ca="1">BG212+BG213+BG214+BG215</f>
        <v>0</v>
      </c>
      <c r="BJ210" s="102" t="s">
        <v>21</v>
      </c>
      <c r="BK210" s="103">
        <f ca="1">BK212+BK213+BK214+BK215</f>
        <v>0</v>
      </c>
      <c r="BN210" s="102" t="s">
        <v>21</v>
      </c>
      <c r="BO210" s="103">
        <f ca="1">BO212+BO213+BO214+BO215</f>
        <v>0</v>
      </c>
    </row>
    <row r="211" spans="26:68" ht="15.75" x14ac:dyDescent="0.25">
      <c r="Z211" s="109" t="s">
        <v>22</v>
      </c>
      <c r="AA211" s="98">
        <f>$AL$37+$AO$117</f>
        <v>0</v>
      </c>
      <c r="AD211" s="110" t="s">
        <v>22</v>
      </c>
      <c r="AE211" s="100">
        <f>AA211/'Indata byggnad och BBR krav'!$C$16*1000</f>
        <v>0</v>
      </c>
      <c r="AF211" s="96"/>
      <c r="BC211" s="106" t="s">
        <v>29</v>
      </c>
      <c r="BD211" s="107"/>
      <c r="BF211" s="106" t="s">
        <v>29</v>
      </c>
      <c r="BG211" s="107"/>
      <c r="BJ211" s="106" t="s">
        <v>29</v>
      </c>
      <c r="BK211" s="108"/>
      <c r="BN211" s="106" t="s">
        <v>29</v>
      </c>
      <c r="BO211" s="108"/>
    </row>
    <row r="212" spans="26:68" ht="15.75" x14ac:dyDescent="0.25">
      <c r="Z212" s="109" t="s">
        <v>23</v>
      </c>
      <c r="AA212" s="98">
        <f>$AL$62</f>
        <v>0</v>
      </c>
      <c r="AD212" s="109" t="s">
        <v>23</v>
      </c>
      <c r="AE212" s="100">
        <f>AA212/'Indata byggnad och BBR krav'!$C$16*1000</f>
        <v>0</v>
      </c>
      <c r="AF212" s="96"/>
      <c r="BC212" s="24" t="s">
        <v>22</v>
      </c>
      <c r="BD212" s="30">
        <f ca="1">$DI$40</f>
        <v>0</v>
      </c>
      <c r="BF212" s="24" t="s">
        <v>22</v>
      </c>
      <c r="BG212" s="30">
        <f ca="1">$DR$40</f>
        <v>0</v>
      </c>
      <c r="BJ212" s="24" t="s">
        <v>22</v>
      </c>
      <c r="BK212" s="103">
        <f ca="1">BD212/'Indata byggnad och BBR krav'!$C$16*1000</f>
        <v>0</v>
      </c>
      <c r="BN212" s="24" t="s">
        <v>22</v>
      </c>
      <c r="BO212" s="103">
        <f ca="1">BG212/'Indata byggnad och BBR krav'!$C$16*1000</f>
        <v>0</v>
      </c>
    </row>
    <row r="213" spans="26:68" ht="15.75" x14ac:dyDescent="0.25">
      <c r="Z213" s="109" t="s">
        <v>24</v>
      </c>
      <c r="AA213" s="98">
        <f>$AA$95</f>
        <v>0</v>
      </c>
      <c r="AD213" s="109" t="s">
        <v>24</v>
      </c>
      <c r="AE213" s="100">
        <f>AA213/'Indata byggnad och BBR krav'!$C$16*1000</f>
        <v>0</v>
      </c>
      <c r="AF213" s="96"/>
      <c r="BC213" s="111" t="s">
        <v>23</v>
      </c>
      <c r="BD213" s="30">
        <f>$BG$59</f>
        <v>0</v>
      </c>
      <c r="BF213" s="111" t="s">
        <v>23</v>
      </c>
      <c r="BG213" s="30">
        <f>$BP$59</f>
        <v>0</v>
      </c>
      <c r="BJ213" s="111" t="s">
        <v>23</v>
      </c>
      <c r="BK213" s="103">
        <f>BD213/'Indata byggnad och BBR krav'!$C$16*1000</f>
        <v>0</v>
      </c>
      <c r="BN213" s="111" t="s">
        <v>23</v>
      </c>
      <c r="BO213" s="103">
        <f>BG213/'Indata byggnad och BBR krav'!$C$16*1000</f>
        <v>0</v>
      </c>
    </row>
    <row r="214" spans="26:68" ht="15.75" x14ac:dyDescent="0.25">
      <c r="Z214" s="109" t="s">
        <v>18</v>
      </c>
      <c r="AA214" s="98">
        <f>$AJ$117</f>
        <v>0</v>
      </c>
      <c r="AD214" s="109" t="s">
        <v>18</v>
      </c>
      <c r="AE214" s="100">
        <f>AA214/'Indata byggnad och BBR krav'!$C$16*1000</f>
        <v>0</v>
      </c>
      <c r="BC214" s="111" t="s">
        <v>24</v>
      </c>
      <c r="BD214" s="30">
        <f>$BD$92</f>
        <v>0</v>
      </c>
      <c r="BF214" s="111" t="s">
        <v>24</v>
      </c>
      <c r="BG214" s="30">
        <f>$BN$91</f>
        <v>0</v>
      </c>
      <c r="BJ214" s="111" t="s">
        <v>24</v>
      </c>
      <c r="BK214" s="103">
        <f>BD214/'Indata byggnad och BBR krav'!$C$16*1000</f>
        <v>0</v>
      </c>
      <c r="BN214" s="111" t="s">
        <v>24</v>
      </c>
      <c r="BO214" s="103">
        <f>BG214/'Indata byggnad och BBR krav'!$C$16*1000</f>
        <v>0</v>
      </c>
    </row>
    <row r="215" spans="26:68" ht="15.75" x14ac:dyDescent="0.25">
      <c r="BC215" s="111" t="s">
        <v>18</v>
      </c>
      <c r="BD215" s="30">
        <f>$BE$122</f>
        <v>0</v>
      </c>
      <c r="BF215" s="111" t="s">
        <v>18</v>
      </c>
      <c r="BG215" s="30">
        <f>$BO$122</f>
        <v>0</v>
      </c>
      <c r="BJ215" s="111" t="s">
        <v>18</v>
      </c>
      <c r="BK215" s="103">
        <f>BD215/'Indata byggnad och BBR krav'!$C$16*1000</f>
        <v>0</v>
      </c>
      <c r="BN215" s="111" t="s">
        <v>18</v>
      </c>
      <c r="BO215" s="103">
        <f>BG215/'Indata byggnad och BBR krav'!$C$16*1000</f>
        <v>0</v>
      </c>
    </row>
    <row r="216" spans="26:68" x14ac:dyDescent="0.25">
      <c r="BD216" s="27"/>
      <c r="BG216" s="27"/>
      <c r="BK216" s="22"/>
      <c r="BO216" s="22"/>
    </row>
    <row r="217" spans="26:68" x14ac:dyDescent="0.25">
      <c r="BD217" s="27"/>
      <c r="BG217" s="27"/>
      <c r="BK217" s="22"/>
      <c r="BO217" s="22"/>
    </row>
    <row r="218" spans="26:68" ht="18" x14ac:dyDescent="0.25">
      <c r="BC218" s="91" t="s">
        <v>1424</v>
      </c>
      <c r="BD218" s="30">
        <f ca="1">$DI$42+$BG$60+$BD$93+$BE$123</f>
        <v>0</v>
      </c>
      <c r="BE218" s="16" t="s">
        <v>1237</v>
      </c>
      <c r="BF218" s="91"/>
      <c r="BG218" s="91"/>
      <c r="BJ218" s="91" t="s">
        <v>1111</v>
      </c>
      <c r="BK218" s="103">
        <f ca="1">BD218/'Indata byggnad och BBR krav'!$C$16*1000</f>
        <v>0</v>
      </c>
      <c r="BL218" s="16" t="s">
        <v>1237</v>
      </c>
      <c r="BN218" s="91"/>
      <c r="BO218" s="91"/>
    </row>
    <row r="219" spans="26:68" ht="18" x14ac:dyDescent="0.25">
      <c r="BC219" s="91" t="s">
        <v>1424</v>
      </c>
      <c r="BD219" s="30">
        <f ca="1">$DI$43+$BG$61+$BD$94+$BE$124</f>
        <v>0</v>
      </c>
      <c r="BE219" s="16" t="s">
        <v>1239</v>
      </c>
      <c r="BF219" s="91" t="s">
        <v>1424</v>
      </c>
      <c r="BG219" s="30">
        <f ca="1">$DR$43+$BP$61+$BN$93+$BO$124</f>
        <v>0</v>
      </c>
      <c r="BH219" s="16" t="s">
        <v>1239</v>
      </c>
      <c r="BJ219" s="91" t="s">
        <v>1111</v>
      </c>
      <c r="BK219" s="103">
        <f ca="1">BD219/'Indata byggnad och BBR krav'!$C$16*1000</f>
        <v>0</v>
      </c>
      <c r="BL219" s="16" t="s">
        <v>1239</v>
      </c>
      <c r="BN219" s="91" t="s">
        <v>1111</v>
      </c>
      <c r="BO219" s="103">
        <f ca="1">BG219/'Indata byggnad och BBR krav'!$C$16*1000</f>
        <v>0</v>
      </c>
      <c r="BP219" s="16" t="s">
        <v>1239</v>
      </c>
    </row>
    <row r="221" spans="26:68" x14ac:dyDescent="0.25">
      <c r="BF221" s="187" t="s">
        <v>1395</v>
      </c>
      <c r="BN221" s="187" t="s">
        <v>1395</v>
      </c>
    </row>
    <row r="223" spans="26:68" x14ac:dyDescent="0.25">
      <c r="BE223" s="21"/>
      <c r="BI223" s="286"/>
      <c r="BJ223" s="287"/>
      <c r="BK223" s="288"/>
      <c r="BL223" s="289" t="s">
        <v>1407</v>
      </c>
      <c r="BM223" s="290"/>
      <c r="BN223" s="287"/>
      <c r="BO223" s="287"/>
      <c r="BP223" s="291"/>
    </row>
    <row r="224" spans="26:68" x14ac:dyDescent="0.25">
      <c r="BI224" s="292"/>
      <c r="BL224" s="26" t="s">
        <v>1402</v>
      </c>
      <c r="BP224" s="293"/>
    </row>
    <row r="225" spans="61:68" x14ac:dyDescent="0.25">
      <c r="BI225" s="292"/>
      <c r="BJ225" s="321" t="s">
        <v>1482</v>
      </c>
      <c r="BN225" s="321" t="s">
        <v>1475</v>
      </c>
      <c r="BP225" s="293"/>
    </row>
    <row r="226" spans="61:68" x14ac:dyDescent="0.25">
      <c r="BI226" s="292"/>
      <c r="BJ226" s="95" t="s">
        <v>1408</v>
      </c>
      <c r="BN226" s="95" t="s">
        <v>1408</v>
      </c>
      <c r="BP226" s="293"/>
    </row>
    <row r="227" spans="61:68" x14ac:dyDescent="0.25">
      <c r="BI227" s="292"/>
      <c r="BP227" s="293"/>
    </row>
    <row r="228" spans="61:68" x14ac:dyDescent="0.25">
      <c r="BI228" s="292"/>
      <c r="BJ228" s="102" t="s">
        <v>21</v>
      </c>
      <c r="BK228" s="285">
        <f ca="1">BK230+BK231+BK232+BK233</f>
        <v>0</v>
      </c>
      <c r="BN228" s="102" t="s">
        <v>21</v>
      </c>
      <c r="BO228" s="285">
        <f ca="1">BO230+BO231+BO232+BO233</f>
        <v>0</v>
      </c>
      <c r="BP228" s="293"/>
    </row>
    <row r="229" spans="61:68" x14ac:dyDescent="0.25">
      <c r="BI229" s="292"/>
      <c r="BJ229" s="106" t="s">
        <v>29</v>
      </c>
      <c r="BK229" s="108"/>
      <c r="BN229" s="106" t="s">
        <v>29</v>
      </c>
      <c r="BO229" s="108"/>
      <c r="BP229" s="293"/>
    </row>
    <row r="230" spans="61:68" x14ac:dyDescent="0.25">
      <c r="BI230" s="292"/>
      <c r="BJ230" s="24" t="s">
        <v>22</v>
      </c>
      <c r="BK230" s="103">
        <f ca="1">$DI$46</f>
        <v>0</v>
      </c>
      <c r="BN230" s="24" t="s">
        <v>22</v>
      </c>
      <c r="BO230" s="103">
        <f ca="1">$DR$46</f>
        <v>0</v>
      </c>
      <c r="BP230" s="293"/>
    </row>
    <row r="231" spans="61:68" ht="15.75" x14ac:dyDescent="0.25">
      <c r="BI231" s="292"/>
      <c r="BJ231" s="111" t="s">
        <v>23</v>
      </c>
      <c r="BK231" s="103">
        <f>$BG$64</f>
        <v>0</v>
      </c>
      <c r="BN231" s="111" t="s">
        <v>23</v>
      </c>
      <c r="BO231" s="103">
        <f>$BP$64</f>
        <v>0</v>
      </c>
      <c r="BP231" s="293"/>
    </row>
    <row r="232" spans="61:68" ht="15.75" x14ac:dyDescent="0.25">
      <c r="BI232" s="292"/>
      <c r="BJ232" s="111" t="s">
        <v>24</v>
      </c>
      <c r="BK232" s="103">
        <f>$BD$98</f>
        <v>0</v>
      </c>
      <c r="BN232" s="111" t="s">
        <v>24</v>
      </c>
      <c r="BO232" s="103">
        <f>$BN$98</f>
        <v>0</v>
      </c>
      <c r="BP232" s="293"/>
    </row>
    <row r="233" spans="61:68" ht="15.75" x14ac:dyDescent="0.25">
      <c r="BI233" s="292"/>
      <c r="BJ233" s="111" t="s">
        <v>18</v>
      </c>
      <c r="BK233" s="103">
        <f>$BE$127</f>
        <v>0</v>
      </c>
      <c r="BN233" s="111" t="s">
        <v>18</v>
      </c>
      <c r="BO233" s="103">
        <f>BO127</f>
        <v>0</v>
      </c>
      <c r="BP233" s="293"/>
    </row>
    <row r="234" spans="61:68" x14ac:dyDescent="0.25">
      <c r="BI234" s="292"/>
      <c r="BP234" s="293"/>
    </row>
    <row r="235" spans="61:68" x14ac:dyDescent="0.25">
      <c r="BI235" s="292"/>
      <c r="BP235" s="293"/>
    </row>
    <row r="236" spans="61:68" x14ac:dyDescent="0.25">
      <c r="BI236" s="292"/>
      <c r="BJ236" s="185"/>
      <c r="BN236" s="185"/>
      <c r="BP236" s="293"/>
    </row>
    <row r="237" spans="61:68" x14ac:dyDescent="0.25">
      <c r="BI237" s="292"/>
      <c r="BJ237" s="95" t="s">
        <v>1448</v>
      </c>
      <c r="BN237" s="95" t="s">
        <v>1448</v>
      </c>
      <c r="BP237" s="293"/>
    </row>
    <row r="238" spans="61:68" x14ac:dyDescent="0.25">
      <c r="BI238" s="292"/>
      <c r="BP238" s="293"/>
    </row>
    <row r="239" spans="61:68" x14ac:dyDescent="0.25">
      <c r="BI239" s="292"/>
      <c r="BJ239" s="102" t="s">
        <v>21</v>
      </c>
      <c r="BK239" s="285">
        <f ca="1">BK241+BK242+BK243+BK244</f>
        <v>0</v>
      </c>
      <c r="BN239" s="102" t="s">
        <v>21</v>
      </c>
      <c r="BO239" s="285">
        <f ca="1">BO241+BO242+BO243+BO244</f>
        <v>0</v>
      </c>
      <c r="BP239" s="293"/>
    </row>
    <row r="240" spans="61:68" x14ac:dyDescent="0.25">
      <c r="BI240" s="292"/>
      <c r="BJ240" s="106" t="s">
        <v>29</v>
      </c>
      <c r="BK240" s="108"/>
      <c r="BN240" s="106" t="s">
        <v>29</v>
      </c>
      <c r="BO240" s="108"/>
      <c r="BP240" s="293"/>
    </row>
    <row r="241" spans="61:68" x14ac:dyDescent="0.25">
      <c r="BI241" s="292"/>
      <c r="BJ241" s="24" t="s">
        <v>22</v>
      </c>
      <c r="BK241" s="103">
        <f ca="1">$DI$47</f>
        <v>0</v>
      </c>
      <c r="BN241" s="24" t="s">
        <v>22</v>
      </c>
      <c r="BO241" s="103">
        <f ca="1">$DR$47</f>
        <v>0</v>
      </c>
      <c r="BP241" s="293"/>
    </row>
    <row r="242" spans="61:68" ht="15.75" x14ac:dyDescent="0.25">
      <c r="BI242" s="292"/>
      <c r="BJ242" s="111" t="s">
        <v>23</v>
      </c>
      <c r="BK242" s="103">
        <f>$BG$65</f>
        <v>0</v>
      </c>
      <c r="BN242" s="111" t="s">
        <v>23</v>
      </c>
      <c r="BO242" s="103">
        <f>$BP$65</f>
        <v>0</v>
      </c>
      <c r="BP242" s="293"/>
    </row>
    <row r="243" spans="61:68" ht="15.75" x14ac:dyDescent="0.25">
      <c r="BI243" s="292"/>
      <c r="BJ243" s="111" t="s">
        <v>24</v>
      </c>
      <c r="BK243" s="103">
        <f>$BD$99</f>
        <v>0</v>
      </c>
      <c r="BN243" s="111" t="s">
        <v>24</v>
      </c>
      <c r="BO243" s="103">
        <f>$BN$99</f>
        <v>0</v>
      </c>
      <c r="BP243" s="293"/>
    </row>
    <row r="244" spans="61:68" ht="15.75" x14ac:dyDescent="0.25">
      <c r="BI244" s="292"/>
      <c r="BJ244" s="111" t="s">
        <v>18</v>
      </c>
      <c r="BK244" s="103">
        <f>$BE$128</f>
        <v>0</v>
      </c>
      <c r="BN244" s="111" t="s">
        <v>18</v>
      </c>
      <c r="BO244" s="103">
        <f>BO128</f>
        <v>0</v>
      </c>
      <c r="BP244" s="293"/>
    </row>
    <row r="245" spans="61:68" x14ac:dyDescent="0.25">
      <c r="BI245" s="292"/>
      <c r="BP245" s="293"/>
    </row>
    <row r="246" spans="61:68" x14ac:dyDescent="0.25">
      <c r="BI246" s="292"/>
      <c r="BJ246" s="185"/>
      <c r="BN246" s="185"/>
      <c r="BP246" s="293"/>
    </row>
    <row r="247" spans="61:68" x14ac:dyDescent="0.25">
      <c r="BI247" s="292"/>
      <c r="BJ247" s="95" t="s">
        <v>1449</v>
      </c>
      <c r="BN247" s="95" t="s">
        <v>1449</v>
      </c>
      <c r="BP247" s="293"/>
    </row>
    <row r="248" spans="61:68" x14ac:dyDescent="0.25">
      <c r="BI248" s="292"/>
      <c r="BJ248" s="95"/>
      <c r="BN248" s="95"/>
      <c r="BP248" s="293"/>
    </row>
    <row r="249" spans="61:68" x14ac:dyDescent="0.25">
      <c r="BI249" s="292"/>
      <c r="BP249" s="293"/>
    </row>
    <row r="250" spans="61:68" x14ac:dyDescent="0.25">
      <c r="BI250" s="292"/>
      <c r="BJ250" s="102" t="s">
        <v>21</v>
      </c>
      <c r="BK250" s="285">
        <f ca="1">BK252+BK253+BK254+BK255</f>
        <v>0</v>
      </c>
      <c r="BN250" s="102" t="s">
        <v>21</v>
      </c>
      <c r="BO250" s="285">
        <f ca="1">BO252+BO253+BO254+BO255</f>
        <v>0</v>
      </c>
      <c r="BP250" s="293"/>
    </row>
    <row r="251" spans="61:68" x14ac:dyDescent="0.25">
      <c r="BI251" s="292"/>
      <c r="BJ251" s="106" t="s">
        <v>29</v>
      </c>
      <c r="BK251" s="108"/>
      <c r="BN251" s="106" t="s">
        <v>29</v>
      </c>
      <c r="BO251" s="108"/>
      <c r="BP251" s="293"/>
    </row>
    <row r="252" spans="61:68" x14ac:dyDescent="0.25">
      <c r="BI252" s="292"/>
      <c r="BJ252" s="24" t="s">
        <v>22</v>
      </c>
      <c r="BK252" s="103">
        <f ca="1">BK230/50</f>
        <v>0</v>
      </c>
      <c r="BN252" s="24" t="s">
        <v>22</v>
      </c>
      <c r="BO252" s="103">
        <f ca="1">BO230/50</f>
        <v>0</v>
      </c>
      <c r="BP252" s="293"/>
    </row>
    <row r="253" spans="61:68" ht="15.75" x14ac:dyDescent="0.25">
      <c r="BI253" s="292"/>
      <c r="BJ253" s="111" t="s">
        <v>23</v>
      </c>
      <c r="BK253" s="103">
        <f t="shared" ref="BK253:BK255" si="245">BK231/50</f>
        <v>0</v>
      </c>
      <c r="BN253" s="111" t="s">
        <v>23</v>
      </c>
      <c r="BO253" s="103">
        <f t="shared" ref="BO253:BO254" si="246">BO231/50</f>
        <v>0</v>
      </c>
      <c r="BP253" s="293"/>
    </row>
    <row r="254" spans="61:68" ht="15.75" x14ac:dyDescent="0.25">
      <c r="BI254" s="292"/>
      <c r="BJ254" s="111" t="s">
        <v>24</v>
      </c>
      <c r="BK254" s="103">
        <f t="shared" si="245"/>
        <v>0</v>
      </c>
      <c r="BN254" s="111" t="s">
        <v>24</v>
      </c>
      <c r="BO254" s="103">
        <f t="shared" si="246"/>
        <v>0</v>
      </c>
      <c r="BP254" s="293"/>
    </row>
    <row r="255" spans="61:68" ht="15.75" x14ac:dyDescent="0.25">
      <c r="BI255" s="292"/>
      <c r="BJ255" s="111" t="s">
        <v>18</v>
      </c>
      <c r="BK255" s="103">
        <f t="shared" si="245"/>
        <v>0</v>
      </c>
      <c r="BN255" s="111" t="s">
        <v>18</v>
      </c>
      <c r="BO255" s="103">
        <f>BO233/50</f>
        <v>0</v>
      </c>
      <c r="BP255" s="293"/>
    </row>
    <row r="256" spans="61:68" x14ac:dyDescent="0.25">
      <c r="BI256" s="294"/>
      <c r="BJ256" s="188"/>
      <c r="BK256" s="188"/>
      <c r="BL256" s="188"/>
      <c r="BM256" s="188"/>
      <c r="BN256" s="188"/>
      <c r="BO256" s="188"/>
      <c r="BP256" s="126"/>
    </row>
  </sheetData>
  <sheetProtection algorithmName="SHA-512" hashValue="s8jXpopT7TosEWBSbKqvjEFwir6nEaRZcmUqM4+GeEhy6SMIYrmLkkLavaLfSh2hZaed8igqzTkOH2SHn8MdxQ==" saltValue="b76KE0bAgTbs3XhfHD2YkQ==" spinCount="100000" sheet="1" objects="1" scenarios="1" selectLockedCells="1"/>
  <mergeCells count="20">
    <mergeCell ref="C112:D114"/>
    <mergeCell ref="AU41:AU43"/>
    <mergeCell ref="AT42:AT43"/>
    <mergeCell ref="AW42:AW43"/>
    <mergeCell ref="C44:D47"/>
    <mergeCell ref="F79:G79"/>
    <mergeCell ref="C82:D85"/>
    <mergeCell ref="F102:G102"/>
    <mergeCell ref="F39:G39"/>
    <mergeCell ref="F13:G13"/>
    <mergeCell ref="C16:D19"/>
    <mergeCell ref="AW16:AW18"/>
    <mergeCell ref="AT17:AT18"/>
    <mergeCell ref="AU17:AU18"/>
    <mergeCell ref="F128:G128"/>
    <mergeCell ref="C131:D133"/>
    <mergeCell ref="F153:G153"/>
    <mergeCell ref="C158:D160"/>
    <mergeCell ref="BC200:BH202"/>
    <mergeCell ref="F177:L181"/>
  </mergeCells>
  <conditionalFormatting sqref="O13:P17 O19:P31 O18">
    <cfRule type="expression" dxfId="86" priority="109">
      <formula>$D$14&lt;3</formula>
    </cfRule>
  </conditionalFormatting>
  <conditionalFormatting sqref="L13:M17 L19:M32 L18">
    <cfRule type="expression" dxfId="85" priority="108">
      <formula>$D$14&lt;2</formula>
    </cfRule>
  </conditionalFormatting>
  <conditionalFormatting sqref="L39:M43 L57:M57 L44:L56">
    <cfRule type="expression" dxfId="84" priority="107">
      <formula>$D$40&lt;2</formula>
    </cfRule>
  </conditionalFormatting>
  <conditionalFormatting sqref="L60:M61 L75:M75 L62:L74">
    <cfRule type="expression" dxfId="83" priority="105">
      <formula>$D$40&lt;2</formula>
    </cfRule>
  </conditionalFormatting>
  <conditionalFormatting sqref="O79:P83 O97:P97 O84:O96">
    <cfRule type="expression" dxfId="82" priority="104">
      <formula>$D$80&lt;3</formula>
    </cfRule>
  </conditionalFormatting>
  <conditionalFormatting sqref="I79:J83 I97:J97 I84:I96">
    <cfRule type="expression" dxfId="81" priority="102">
      <formula>$D$80=0</formula>
    </cfRule>
  </conditionalFormatting>
  <conditionalFormatting sqref="O102:P106 O120:P120 O107:O119">
    <cfRule type="expression" dxfId="80" priority="101">
      <formula>$D$103&lt;3</formula>
    </cfRule>
  </conditionalFormatting>
  <conditionalFormatting sqref="L102:M106 L120:M120 L107:L119">
    <cfRule type="expression" dxfId="79" priority="100">
      <formula>$D$103&lt;2</formula>
    </cfRule>
  </conditionalFormatting>
  <conditionalFormatting sqref="U128:V132 U146:V147 U133:U145">
    <cfRule type="expression" dxfId="78" priority="99">
      <formula>$D$129&lt;5</formula>
    </cfRule>
  </conditionalFormatting>
  <conditionalFormatting sqref="L128:M132 L133:L145">
    <cfRule type="expression" dxfId="77" priority="81">
      <formula>$D$129=0</formula>
    </cfRule>
  </conditionalFormatting>
  <conditionalFormatting sqref="I128:J132 I146:J146 I133:I145">
    <cfRule type="expression" dxfId="76" priority="97">
      <formula>$D$129=0</formula>
    </cfRule>
  </conditionalFormatting>
  <conditionalFormatting sqref="O39:P43 O57:P57 O44:O56">
    <cfRule type="expression" dxfId="75" priority="96">
      <formula>$D$40&lt;3</formula>
    </cfRule>
  </conditionalFormatting>
  <conditionalFormatting sqref="I39:J43 I57:J57 I44:I56">
    <cfRule type="expression" dxfId="74" priority="95">
      <formula>$D$40=0</formula>
    </cfRule>
  </conditionalFormatting>
  <conditionalFormatting sqref="I13:J17 I18:I31">
    <cfRule type="expression" dxfId="73" priority="94">
      <formula>$D$14=0</formula>
    </cfRule>
  </conditionalFormatting>
  <conditionalFormatting sqref="I60:J61 I75:J75 I62:I74">
    <cfRule type="expression" dxfId="72" priority="93">
      <formula>$D$40=0</formula>
    </cfRule>
  </conditionalFormatting>
  <conditionalFormatting sqref="I102:J106 I120:J120 I107:I119">
    <cfRule type="expression" dxfId="71" priority="92">
      <formula>$D$103=0</formula>
    </cfRule>
  </conditionalFormatting>
  <conditionalFormatting sqref="O128:P132 O146:P147 O133:O145">
    <cfRule type="expression" dxfId="70" priority="91">
      <formula>$D$129&lt;3</formula>
    </cfRule>
  </conditionalFormatting>
  <conditionalFormatting sqref="R128:S132 R146:S147 R133:R145">
    <cfRule type="expression" dxfId="69" priority="90">
      <formula>$D$129&lt;4</formula>
    </cfRule>
  </conditionalFormatting>
  <conditionalFormatting sqref="F176:L181 C182:D196 C198:D201">
    <cfRule type="expression" dxfId="68" priority="89">
      <formula>$D$177="Mätdata ej tillgänglig"</formula>
    </cfRule>
  </conditionalFormatting>
  <conditionalFormatting sqref="C109:D110">
    <cfRule type="expression" dxfId="67" priority="87">
      <formula>$D$107="Mäts separat"</formula>
    </cfRule>
  </conditionalFormatting>
  <conditionalFormatting sqref="I153:J157 I171:J171 I158:I170">
    <cfRule type="expression" dxfId="66" priority="110">
      <formula>$D$156=0</formula>
    </cfRule>
  </conditionalFormatting>
  <conditionalFormatting sqref="L153:M157 L171:M171">
    <cfRule type="expression" dxfId="65" priority="111">
      <formula>$D$156&lt;2</formula>
    </cfRule>
  </conditionalFormatting>
  <conditionalFormatting sqref="C156:D156 I153:P157 I171:P171 I158:I170">
    <cfRule type="expression" dxfId="64" priority="82">
      <formula>$D$154="Mätdata ej tillgänglig"</formula>
    </cfRule>
  </conditionalFormatting>
  <conditionalFormatting sqref="I18:I31 L18:L31 M31 O18:O31 P31 I44:I57 J57 L44:L57 M57 O44:O57 P57 J75 M75 P75 I84:I97 J97 L84:L97 M97 O84:O97 P97 I107:I120 J120 L107:L120 M120 O107:O120 P120 J146 L133:L146 M146 O133:O146 P146 R133:R146 S146 U133:U146 V146 I62:I75 L62:L75 O62:O75 I158:I171 L171:M171 O171:P171 F7:F9 I133:I146 F147:F150 J171:J172">
    <cfRule type="expression" dxfId="63" priority="113">
      <formula>$Z$4=$Z$5</formula>
    </cfRule>
  </conditionalFormatting>
  <conditionalFormatting sqref="C41:D41">
    <cfRule type="expression" dxfId="62" priority="114">
      <formula>OR($C$20="Kallvattenvolym",$C$20="Tappvarmvattenvolym")</formula>
    </cfRule>
  </conditionalFormatting>
  <conditionalFormatting sqref="C107:D110">
    <cfRule type="expression" dxfId="61" priority="76">
      <formula>$D$105="Finns ej"</formula>
    </cfRule>
  </conditionalFormatting>
  <conditionalFormatting sqref="O60:P61 O75:P75 O62:O74">
    <cfRule type="expression" dxfId="60" priority="106">
      <formula>$D$40&lt;3</formula>
    </cfRule>
  </conditionalFormatting>
  <conditionalFormatting sqref="G147:G150">
    <cfRule type="expression" dxfId="59" priority="63">
      <formula>$Z$4=$Z$5</formula>
    </cfRule>
  </conditionalFormatting>
  <conditionalFormatting sqref="I60:P61 I75:P75 I62:I74 K62:L74 N62:O74">
    <cfRule type="expression" dxfId="58" priority="78">
      <formula>$D$41="Inkluderad i energi för uppvärmning"</formula>
    </cfRule>
    <cfRule type="expression" dxfId="57" priority="79">
      <formula>$D$41="Inkluderad i energi för tappvarmvatten"</formula>
    </cfRule>
  </conditionalFormatting>
  <conditionalFormatting sqref="L79:M83 L97:M97 L84:L96">
    <cfRule type="expression" dxfId="56" priority="103">
      <formula>$D$80&lt;2</formula>
    </cfRule>
  </conditionalFormatting>
  <conditionalFormatting sqref="L128:M132 L146:M146 L133:L145">
    <cfRule type="expression" dxfId="55" priority="98">
      <formula>$D$129&lt;2</formula>
    </cfRule>
  </conditionalFormatting>
  <conditionalFormatting sqref="O153:P157 O171:P171">
    <cfRule type="expression" dxfId="54" priority="112">
      <formula>$D$156&lt;3</formula>
    </cfRule>
  </conditionalFormatting>
  <conditionalFormatting sqref="J19:J31">
    <cfRule type="expression" dxfId="53" priority="39">
      <formula>$D$14=0</formula>
    </cfRule>
  </conditionalFormatting>
  <conditionalFormatting sqref="J31">
    <cfRule type="expression" dxfId="52" priority="40">
      <formula>$Z$4=$Z$5</formula>
    </cfRule>
  </conditionalFormatting>
  <conditionalFormatting sqref="J45:J56">
    <cfRule type="expression" dxfId="51" priority="38">
      <formula>$D$14=0</formula>
    </cfRule>
  </conditionalFormatting>
  <conditionalFormatting sqref="M18">
    <cfRule type="expression" dxfId="50" priority="36">
      <formula>$D$14&lt;2</formula>
    </cfRule>
  </conditionalFormatting>
  <conditionalFormatting sqref="P18">
    <cfRule type="expression" dxfId="49" priority="35">
      <formula>$D$14&lt;3</formula>
    </cfRule>
  </conditionalFormatting>
  <conditionalFormatting sqref="M44:M56">
    <cfRule type="expression" dxfId="48" priority="34">
      <formula>$D$40&lt;2</formula>
    </cfRule>
  </conditionalFormatting>
  <conditionalFormatting sqref="P44:P56">
    <cfRule type="expression" dxfId="47" priority="33">
      <formula>$D$40&lt;3</formula>
    </cfRule>
  </conditionalFormatting>
  <conditionalFormatting sqref="M62:M74">
    <cfRule type="expression" dxfId="46" priority="32">
      <formula>$D$40&lt;2</formula>
    </cfRule>
  </conditionalFormatting>
  <conditionalFormatting sqref="M62:M74">
    <cfRule type="expression" dxfId="45" priority="30">
      <formula>$D$41="Inkluderad i energi för uppvärmning"</formula>
    </cfRule>
    <cfRule type="expression" dxfId="44" priority="31">
      <formula>$D$41="Inkluderad i energi för tappvarmvatten"</formula>
    </cfRule>
  </conditionalFormatting>
  <conditionalFormatting sqref="P62:P74">
    <cfRule type="expression" dxfId="43" priority="29">
      <formula>$D$40&lt;3</formula>
    </cfRule>
  </conditionalFormatting>
  <conditionalFormatting sqref="P62:P74">
    <cfRule type="expression" dxfId="42" priority="27">
      <formula>$D$41="Inkluderad i energi för uppvärmning"</formula>
    </cfRule>
    <cfRule type="expression" dxfId="41" priority="28">
      <formula>$D$41="Inkluderad i energi för tappvarmvatten"</formula>
    </cfRule>
  </conditionalFormatting>
  <conditionalFormatting sqref="J62:J74">
    <cfRule type="expression" dxfId="40" priority="26">
      <formula>$D$40=0</formula>
    </cfRule>
  </conditionalFormatting>
  <conditionalFormatting sqref="J62:J74">
    <cfRule type="expression" dxfId="39" priority="24">
      <formula>$D$41="Inkluderad i energi för uppvärmning"</formula>
    </cfRule>
    <cfRule type="expression" dxfId="38" priority="25">
      <formula>$D$41="Inkluderad i energi för tappvarmvatten"</formula>
    </cfRule>
  </conditionalFormatting>
  <conditionalFormatting sqref="J84:J96">
    <cfRule type="expression" dxfId="37" priority="23">
      <formula>$D$80=0</formula>
    </cfRule>
  </conditionalFormatting>
  <conditionalFormatting sqref="M84:M96">
    <cfRule type="expression" dxfId="36" priority="21">
      <formula>$D$80=0</formula>
    </cfRule>
    <cfRule type="expression" dxfId="35" priority="22">
      <formula>$D$80&lt;2</formula>
    </cfRule>
  </conditionalFormatting>
  <conditionalFormatting sqref="P84:P96">
    <cfRule type="expression" dxfId="34" priority="20">
      <formula>$D$80&lt;3</formula>
    </cfRule>
  </conditionalFormatting>
  <conditionalFormatting sqref="J107:J119">
    <cfRule type="expression" dxfId="33" priority="19">
      <formula>$D$103=0</formula>
    </cfRule>
  </conditionalFormatting>
  <conditionalFormatting sqref="M107:M119">
    <cfRule type="expression" dxfId="32" priority="18">
      <formula>$D$103&lt;2</formula>
    </cfRule>
  </conditionalFormatting>
  <conditionalFormatting sqref="P107:P119">
    <cfRule type="expression" dxfId="31" priority="17">
      <formula>$D$103&lt;3</formula>
    </cfRule>
  </conditionalFormatting>
  <conditionalFormatting sqref="J133:J145">
    <cfRule type="expression" dxfId="30" priority="16">
      <formula>$D$129=0</formula>
    </cfRule>
  </conditionalFormatting>
  <conditionalFormatting sqref="M133:M145">
    <cfRule type="expression" dxfId="29" priority="14">
      <formula>$D$129=0</formula>
    </cfRule>
    <cfRule type="expression" dxfId="28" priority="15">
      <formula>$D$129&lt;2</formula>
    </cfRule>
  </conditionalFormatting>
  <conditionalFormatting sqref="P133:P145">
    <cfRule type="expression" dxfId="27" priority="13">
      <formula>$D$129&lt;3</formula>
    </cfRule>
  </conditionalFormatting>
  <conditionalFormatting sqref="S133:S145">
    <cfRule type="expression" dxfId="26" priority="12">
      <formula>$D$129&lt;4</formula>
    </cfRule>
  </conditionalFormatting>
  <conditionalFormatting sqref="V133:V145">
    <cfRule type="expression" dxfId="25" priority="11">
      <formula>$D$129&lt;5</formula>
    </cfRule>
  </conditionalFormatting>
  <conditionalFormatting sqref="J158:J170">
    <cfRule type="expression" dxfId="24" priority="7">
      <formula>$D$156=0</formula>
    </cfRule>
  </conditionalFormatting>
  <conditionalFormatting sqref="L158:M170">
    <cfRule type="expression" dxfId="23" priority="8">
      <formula>$D$156&lt;2</formula>
    </cfRule>
  </conditionalFormatting>
  <conditionalFormatting sqref="O158:P170">
    <cfRule type="expression" dxfId="22" priority="1">
      <formula>$D$156=0</formula>
    </cfRule>
    <cfRule type="expression" dxfId="21" priority="3">
      <formula>$D$156=0</formula>
    </cfRule>
    <cfRule type="expression" dxfId="20" priority="5">
      <formula>$D$156&lt;2</formula>
    </cfRule>
    <cfRule type="expression" dxfId="19" priority="9">
      <formula>$D$156&lt;3</formula>
    </cfRule>
  </conditionalFormatting>
  <conditionalFormatting sqref="L158:M170">
    <cfRule type="expression" dxfId="18" priority="4">
      <formula>$D$156=0</formula>
    </cfRule>
    <cfRule type="expression" dxfId="17" priority="6">
      <formula>$D$156&lt;2</formula>
    </cfRule>
  </conditionalFormatting>
  <conditionalFormatting sqref="J158:P170">
    <cfRule type="expression" dxfId="16" priority="2">
      <formula>$D$154="Mätdata ej tillgänglig"</formula>
    </cfRule>
  </conditionalFormatting>
  <conditionalFormatting sqref="L158:L170 O158:O170">
    <cfRule type="expression" dxfId="15" priority="10">
      <formula>$Z$4=$Z$5</formula>
    </cfRule>
  </conditionalFormatting>
  <dataValidations count="26">
    <dataValidation type="whole" allowBlank="1" showInputMessage="1" showErrorMessage="1" error="Ange mätdata i MWh!" sqref="M159:M170 P159:P170 J159:J170" xr:uid="{7A849C83-CFD4-4CAF-B78C-0E19119ACF1C}">
      <formula1>0</formula1>
      <formula2>100</formula2>
    </dataValidation>
    <dataValidation type="decimal" allowBlank="1" showInputMessage="1" showErrorMessage="1" error="Ange mätdata i MWh!" sqref="V134:V145 P45:P56 M19:M30 P19:P30 J19:J30 M45:M56 J63:J74 M63:M74 P63:P74 J45:J56 M85:M96 P85:P96 J85:J96 M108:M119 P108:P119 J134:J145 M134:M145 P134:P145 S134:S145 J108:J119" xr:uid="{E45F1DAA-F1C4-486C-A2F0-E0A0494F33C6}">
      <formula1>0</formula1>
      <formula2>1000</formula2>
    </dataValidation>
    <dataValidation type="decimal" operator="lessThan" allowBlank="1" showInputMessage="1" showErrorMessage="1" error="Ange endast siffror!" sqref="D184 D188 D192" xr:uid="{9B6DE46A-0378-467F-AFFE-C9F6DC363124}">
      <formula1>30</formula1>
    </dataValidation>
    <dataValidation type="whole" allowBlank="1" showInputMessage="1" showErrorMessage="1" error="Areaandel ska vara mellan 0 och 100 %!" sqref="D183 D191 D187" xr:uid="{2C38CC03-58C4-4C40-A4FF-D55E94ABE22C}">
      <formula1>0</formula1>
      <formula2>100</formula2>
    </dataValidation>
    <dataValidation type="list" allowBlank="1" showInputMessage="1" showErrorMessage="1" sqref="J155 M155 P155" xr:uid="{142432B6-57C1-4091-A428-54D1CCA8D1A7}">
      <formula1>$EP$3:$EP$4</formula1>
    </dataValidation>
    <dataValidation type="list" allowBlank="1" showInputMessage="1" showErrorMessage="1" sqref="D105" xr:uid="{E984C7F1-53D3-4E14-AB53-3C6DB62457B0}">
      <formula1>$ES$3:$ES$4</formula1>
    </dataValidation>
    <dataValidation type="list" allowBlank="1" showInputMessage="1" showErrorMessage="1" sqref="D107" xr:uid="{D63183F7-0D5F-4E58-9866-8031341A89F1}">
      <formula1>$ET$3:$ET$5</formula1>
    </dataValidation>
    <dataValidation type="list" allowBlank="1" showInputMessage="1" showErrorMessage="1" sqref="D14 D40 D103" xr:uid="{164CBB00-78EF-4DA3-8552-30EA5150B3BD}">
      <formula1>$DX$4:$DX$6</formula1>
    </dataValidation>
    <dataValidation type="list" allowBlank="1" showInputMessage="1" showErrorMessage="1" sqref="D41" xr:uid="{C7A27833-8B05-4EBC-9987-999F2F1A4B40}">
      <formula1>$ER$3:$ER$5</formula1>
    </dataValidation>
    <dataValidation type="list" allowBlank="1" showInputMessage="1" showErrorMessage="1" sqref="Z4" xr:uid="{33BE05BB-A7B7-4E22-A765-B13564FCB7DF}">
      <formula1>$Z$5:$Z$6</formula1>
    </dataValidation>
    <dataValidation type="list" allowBlank="1" showInputMessage="1" showErrorMessage="1" sqref="D129" xr:uid="{7B50E11C-9BBC-4BB9-B967-8612541F2F92}">
      <formula1>$DX$3:$DX$8</formula1>
    </dataValidation>
    <dataValidation type="list" allowBlank="1" showInputMessage="1" showErrorMessage="1" sqref="J131 V131 M131 S131 P131" xr:uid="{F3E918B8-EF6D-44B2-8383-4BABA08D631A}">
      <formula1>$DW$3:$DW$4</formula1>
    </dataValidation>
    <dataValidation type="list" allowBlank="1" showInputMessage="1" showErrorMessage="1" sqref="D156 D80" xr:uid="{D65960D0-F9DF-4879-9970-BD6EEDFE2723}">
      <formula1>$DX$3:$DX$6</formula1>
    </dataValidation>
    <dataValidation type="list" allowBlank="1" showInputMessage="1" showErrorMessage="1" sqref="P40:V40 J40 M40 R59:V59" xr:uid="{88B06959-209A-4068-B5F0-066AF1538E01}">
      <formula1>$DY$3:$DY$7</formula1>
    </dataValidation>
    <dataValidation type="list" allowBlank="1" showInputMessage="1" showErrorMessage="1" sqref="K40 P14:V14 M14:N14 J14:K14 N40" xr:uid="{3598BA26-6242-412C-8BFA-6369287F8042}">
      <formula1>$DY$3:$DY$9</formula1>
    </dataValidation>
    <dataValidation type="list" allowBlank="1" showInputMessage="1" showErrorMessage="1" sqref="M103 J103 M154 J154 P103:V103 P154:V154" xr:uid="{136D58DE-B0CA-498E-A444-AF0AA9079C30}">
      <formula1>$EA$3:$EA$7</formula1>
    </dataValidation>
    <dataValidation type="list" allowBlank="1" showInputMessage="1" showErrorMessage="1" sqref="V130 P130 S130 M130 J130" xr:uid="{9C2A3B65-23E9-49E9-9E32-E19669658E63}">
      <formula1>$EG$3:$EG$6</formula1>
    </dataValidation>
    <dataValidation type="list" allowBlank="1" showInputMessage="1" showErrorMessage="1" sqref="M129 P129 V129 S129 J129" xr:uid="{B08B2F90-095E-47EB-8D5B-192D2CAF54E4}">
      <formula1>$EF$3:$EF$6</formula1>
    </dataValidation>
    <dataValidation type="list" allowBlank="1" showInputMessage="1" showErrorMessage="1" sqref="M80:N80 J80:K80 P80:V80" xr:uid="{7D75E30E-3E85-41BF-A885-0F8454861C93}">
      <formula1>$EC$3:$EC$4</formula1>
    </dataValidation>
    <dataValidation type="list" allowBlank="1" showInputMessage="1" showErrorMessage="1" sqref="H129 H103 H40 H154 H80 H14" xr:uid="{092ADA82-F818-4ECA-BDB0-29EDE347A198}">
      <formula1>$EH$3:$EH$10</formula1>
    </dataValidation>
    <dataValidation type="list" allowBlank="1" showInputMessage="1" showErrorMessage="1" sqref="D177 D154 Q155:V155" xr:uid="{DB9A2A0C-80E1-48DF-9C35-74D3EE03C922}">
      <formula1>$EO$3:$EO$4</formula1>
    </dataValidation>
    <dataValidation type="list" allowBlank="1" showInputMessage="1" showErrorMessage="1" sqref="M104:N104 N155 AB100:AB101 K155 J104:K104 P104:V104 AI101 AB145:AB146" xr:uid="{43455FCB-8549-425F-975D-B08923F65EC1}">
      <formula1>$EL$3:$EL$4</formula1>
    </dataValidation>
    <dataValidation type="list" allowBlank="1" showInputMessage="1" showErrorMessage="1" sqref="J16 P16:V16 M82 J82 P42:V42 M42 J42 M16 P82:V82" xr:uid="{88E18954-F904-4C36-B5E1-6CBC9CC5EBBD}">
      <formula1>$EN$3:$EN$4</formula1>
    </dataValidation>
    <dataValidation type="list" allowBlank="1" showInputMessage="1" showErrorMessage="1" sqref="G15 H15:H16 D179:D180 H41:H42 H104:H105 H130:H131 H81:H82 H155:H156" xr:uid="{F95BDDD0-8631-4B82-AD28-8EAF30BEE618}">
      <formula1>$EI$3:$EI$14</formula1>
    </dataValidation>
    <dataValidation type="list" allowBlank="1" showInputMessage="1" showErrorMessage="1" sqref="D42" xr:uid="{629D556F-E3A5-4682-9EBB-F5FEB15118A1}">
      <formula1>$EQ$3:$EQ$4</formula1>
    </dataValidation>
    <dataValidation type="list" allowBlank="1" showInputMessage="1" showErrorMessage="1" sqref="G14" xr:uid="{ED2D027A-8860-4FB8-967E-403092209134}">
      <formula1>$EH$3:$EH$9</formula1>
    </dataValidation>
  </dataValidations>
  <pageMargins left="0.7" right="0.7" top="0.75" bottom="0.75" header="0.3" footer="0.3"/>
  <pageSetup paperSize="9" scale="1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7" id="{B3033752-BDB6-4467-BB5F-4BD09EFEC0D4}">
            <xm:f>'Indata byggnad och BBR krav'!$C$17=0</xm:f>
            <x14:dxf>
              <font>
                <color theme="0"/>
              </font>
              <fill>
                <patternFill>
                  <bgColor theme="0"/>
                </patternFill>
              </fill>
              <border>
                <left/>
                <right/>
                <top/>
                <bottom/>
                <vertical/>
                <horizontal/>
              </border>
            </x14:dxf>
          </x14:cfRule>
          <xm:sqref>C105:D105 C107:D110</xm:sqref>
        </x14:conditionalFormatting>
        <x14:conditionalFormatting xmlns:xm="http://schemas.microsoft.com/office/excel/2006/main">
          <x14:cfRule type="expression" priority="62" id="{3112B39D-8562-4226-A685-A10E76E4F139}">
            <xm:f>'Indata byggnad och BBR krav'!$C$18=0</xm:f>
            <x14:dxf>
              <font>
                <color theme="0"/>
              </font>
              <fill>
                <patternFill>
                  <bgColor theme="0"/>
                </patternFill>
              </fill>
              <border>
                <left/>
                <right/>
                <top/>
                <bottom/>
                <vertical/>
                <horizontal/>
              </border>
            </x14:dxf>
          </x14:cfRule>
          <xm:sqref>C198:D198</xm:sqref>
        </x14:conditionalFormatting>
        <x14:conditionalFormatting xmlns:xm="http://schemas.microsoft.com/office/excel/2006/main">
          <x14:cfRule type="expression" priority="61" id="{D5305A65-BF13-4EA9-BA85-72F99F266E9A}">
            <xm:f>'Indata byggnad och BBR krav'!$C$17=0</xm:f>
            <x14:dxf>
              <font>
                <b val="0"/>
                <i val="0"/>
                <color theme="0"/>
              </font>
              <fill>
                <patternFill>
                  <bgColor theme="0"/>
                </patternFill>
              </fill>
              <border>
                <left/>
                <right/>
                <top/>
                <bottom/>
                <vertical/>
                <horizontal/>
              </border>
            </x14:dxf>
          </x14:cfRule>
          <xm:sqref>C196:D196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7A13B-1839-46F5-A21E-3E086ECEF26A}">
  <sheetPr codeName="Sheet4">
    <tabColor theme="8"/>
  </sheetPr>
  <dimension ref="B1:CW68"/>
  <sheetViews>
    <sheetView showGridLines="0" zoomScale="80" zoomScaleNormal="80" workbookViewId="0">
      <selection activeCell="F40" sqref="F40:G47"/>
    </sheetView>
  </sheetViews>
  <sheetFormatPr defaultColWidth="9.140625" defaultRowHeight="15" x14ac:dyDescent="0.25"/>
  <cols>
    <col min="1" max="1" width="4" customWidth="1"/>
    <col min="2" max="2" width="41.42578125" customWidth="1"/>
    <col min="3" max="3" width="36.7109375" customWidth="1"/>
    <col min="4" max="4" width="36.28515625" customWidth="1"/>
    <col min="5" max="5" width="4" customWidth="1"/>
    <col min="6" max="6" width="66.28515625" customWidth="1"/>
    <col min="7" max="7" width="22.28515625" customWidth="1"/>
    <col min="8" max="8" width="4.28515625" customWidth="1"/>
    <col min="9" max="10" width="15" customWidth="1"/>
    <col min="11" max="12" width="15.85546875" customWidth="1"/>
    <col min="13" max="13" width="14.42578125" customWidth="1"/>
    <col min="31" max="31" width="61.7109375" style="201" hidden="1" customWidth="1"/>
    <col min="32" max="32" width="14" style="201" hidden="1" customWidth="1"/>
    <col min="33" max="35" width="13.5703125" style="201" hidden="1" customWidth="1"/>
    <col min="36" max="36" width="16.42578125" style="201" hidden="1" customWidth="1"/>
    <col min="37" max="37" width="13.5703125" style="201" hidden="1" customWidth="1"/>
    <col min="38" max="42" width="13.85546875" style="201" hidden="1" customWidth="1"/>
    <col min="43" max="101" width="9.140625" style="201" hidden="1" customWidth="1"/>
    <col min="102" max="102" width="9.140625" customWidth="1"/>
  </cols>
  <sheetData>
    <row r="1" spans="2:101" ht="29.25" customHeight="1" x14ac:dyDescent="0.25">
      <c r="AE1" s="201" t="s">
        <v>1446</v>
      </c>
      <c r="AF1" s="201" t="s">
        <v>1446</v>
      </c>
      <c r="AG1" s="201" t="s">
        <v>1446</v>
      </c>
      <c r="AH1" s="201" t="s">
        <v>1446</v>
      </c>
      <c r="AI1" s="201" t="s">
        <v>1446</v>
      </c>
      <c r="AJ1" s="201" t="s">
        <v>1446</v>
      </c>
      <c r="AK1" s="201" t="s">
        <v>1446</v>
      </c>
      <c r="AL1" s="201" t="s">
        <v>1446</v>
      </c>
      <c r="AM1" s="201" t="s">
        <v>1446</v>
      </c>
      <c r="AN1" s="201" t="s">
        <v>1446</v>
      </c>
      <c r="AO1" s="201" t="s">
        <v>1446</v>
      </c>
      <c r="AP1" s="201" t="s">
        <v>1446</v>
      </c>
      <c r="AQ1" s="201" t="s">
        <v>1446</v>
      </c>
      <c r="AR1" s="201" t="s">
        <v>1446</v>
      </c>
      <c r="AS1" s="201" t="s">
        <v>1446</v>
      </c>
      <c r="AT1" s="201" t="s">
        <v>1446</v>
      </c>
      <c r="AU1" s="201" t="s">
        <v>1446</v>
      </c>
      <c r="AV1" s="201" t="s">
        <v>1446</v>
      </c>
      <c r="AW1" s="201" t="s">
        <v>1446</v>
      </c>
      <c r="AX1" s="201" t="s">
        <v>1446</v>
      </c>
      <c r="AY1" s="201" t="s">
        <v>1446</v>
      </c>
      <c r="AZ1" s="201" t="s">
        <v>1446</v>
      </c>
      <c r="BA1" s="201" t="s">
        <v>1446</v>
      </c>
      <c r="BB1" s="201" t="s">
        <v>1446</v>
      </c>
      <c r="BC1" s="201" t="s">
        <v>1446</v>
      </c>
      <c r="BD1" s="201" t="s">
        <v>1446</v>
      </c>
      <c r="BE1" s="201" t="s">
        <v>1446</v>
      </c>
      <c r="BF1" s="201" t="s">
        <v>1446</v>
      </c>
      <c r="BG1" s="201" t="s">
        <v>1446</v>
      </c>
      <c r="BH1" s="201" t="s">
        <v>1446</v>
      </c>
      <c r="BI1" s="201" t="s">
        <v>1446</v>
      </c>
      <c r="BJ1" s="201" t="s">
        <v>1446</v>
      </c>
      <c r="BK1" s="201" t="s">
        <v>1446</v>
      </c>
      <c r="BL1" s="201" t="s">
        <v>1446</v>
      </c>
      <c r="BM1" s="201" t="s">
        <v>1446</v>
      </c>
      <c r="BN1" s="201" t="s">
        <v>1446</v>
      </c>
      <c r="BO1" s="201" t="s">
        <v>1446</v>
      </c>
      <c r="BP1" s="201" t="s">
        <v>1446</v>
      </c>
      <c r="BQ1" s="201" t="s">
        <v>1446</v>
      </c>
      <c r="BR1" s="201" t="s">
        <v>1446</v>
      </c>
      <c r="BS1" s="201" t="s">
        <v>1446</v>
      </c>
      <c r="BT1" s="201" t="s">
        <v>1446</v>
      </c>
      <c r="BU1" s="201" t="s">
        <v>1446</v>
      </c>
      <c r="BV1" s="201" t="s">
        <v>1446</v>
      </c>
      <c r="BW1" s="201" t="s">
        <v>1446</v>
      </c>
      <c r="BX1" s="201" t="s">
        <v>1446</v>
      </c>
      <c r="BY1" s="201" t="s">
        <v>1446</v>
      </c>
      <c r="BZ1" s="201" t="s">
        <v>1446</v>
      </c>
      <c r="CA1" s="201" t="s">
        <v>1446</v>
      </c>
      <c r="CB1" s="201" t="s">
        <v>1446</v>
      </c>
      <c r="CC1" s="201" t="s">
        <v>1446</v>
      </c>
      <c r="CD1" s="201" t="s">
        <v>1446</v>
      </c>
      <c r="CE1" s="201" t="s">
        <v>1446</v>
      </c>
      <c r="CF1" s="201" t="s">
        <v>1446</v>
      </c>
      <c r="CG1" s="201" t="s">
        <v>1446</v>
      </c>
      <c r="CH1" s="201" t="s">
        <v>1446</v>
      </c>
      <c r="CI1" s="201" t="s">
        <v>1446</v>
      </c>
      <c r="CJ1" s="201" t="s">
        <v>1446</v>
      </c>
      <c r="CK1" s="201" t="s">
        <v>1446</v>
      </c>
      <c r="CL1" s="201" t="s">
        <v>1446</v>
      </c>
      <c r="CM1" s="201" t="s">
        <v>1446</v>
      </c>
      <c r="CN1" s="201" t="s">
        <v>1446</v>
      </c>
      <c r="CO1" s="201" t="s">
        <v>1446</v>
      </c>
      <c r="CP1" s="201" t="s">
        <v>1446</v>
      </c>
      <c r="CQ1" s="201" t="s">
        <v>1446</v>
      </c>
      <c r="CR1" s="201" t="s">
        <v>1446</v>
      </c>
      <c r="CS1" s="201" t="s">
        <v>1446</v>
      </c>
      <c r="CT1" s="201" t="s">
        <v>1446</v>
      </c>
      <c r="CU1" s="201" t="s">
        <v>1446</v>
      </c>
      <c r="CV1" s="201" t="s">
        <v>1446</v>
      </c>
      <c r="CW1" s="201" t="s">
        <v>1446</v>
      </c>
    </row>
    <row r="2" spans="2:101" ht="42" customHeight="1" x14ac:dyDescent="0.3">
      <c r="B2" s="15"/>
      <c r="C2" s="117" t="s">
        <v>8</v>
      </c>
    </row>
    <row r="3" spans="2:101" ht="31.5" customHeight="1" x14ac:dyDescent="0.25"/>
    <row r="4" spans="2:101" ht="76.5" customHeight="1" x14ac:dyDescent="0.3">
      <c r="B4" s="15" t="s">
        <v>1143</v>
      </c>
      <c r="AF4" s="201" t="s">
        <v>1215</v>
      </c>
      <c r="AG4" s="201" t="s">
        <v>1202</v>
      </c>
    </row>
    <row r="5" spans="2:101" ht="9.75" customHeight="1" x14ac:dyDescent="0.25">
      <c r="K5" s="1"/>
      <c r="AI5" s="201" t="s">
        <v>1155</v>
      </c>
      <c r="AJ5" s="201" t="s">
        <v>1156</v>
      </c>
    </row>
    <row r="6" spans="2:101" ht="16.5" customHeight="1" x14ac:dyDescent="0.25">
      <c r="B6" s="345" t="s">
        <v>1133</v>
      </c>
      <c r="C6" s="345"/>
      <c r="AF6" s="202">
        <f ca="1">$C$20*AJ6</f>
        <v>0</v>
      </c>
      <c r="AG6" s="203">
        <f ca="1">$C$20*AI6+0.001</f>
        <v>1E-3</v>
      </c>
      <c r="AH6" s="204">
        <v>1</v>
      </c>
      <c r="AI6" s="204">
        <v>0</v>
      </c>
      <c r="AJ6" s="204">
        <v>0.5</v>
      </c>
      <c r="AK6" s="204" t="s">
        <v>1148</v>
      </c>
    </row>
    <row r="7" spans="2:101" ht="16.5" customHeight="1" x14ac:dyDescent="0.25">
      <c r="B7" s="34" t="s">
        <v>1211</v>
      </c>
      <c r="C7" s="249" t="str">
        <f>IF('Indata byggnad och BBR krav'!C7="","",'Indata byggnad och BBR krav'!C7)</f>
        <v>Befintlig byggnad Alternativ 1</v>
      </c>
      <c r="D7" s="59" t="str">
        <f>IF(C7="Befintlig byggnad Alternativ 2","Kriterium 7-Energiklass",IF(C7="Befintlig Byggnad Alternativ 1","Kriterium 6-Energirenovering",""))</f>
        <v>Kriterium 6-Energirenovering</v>
      </c>
      <c r="AF7" s="202">
        <f t="shared" ref="AF7:AF12" ca="1" si="0">$C$20*AJ7</f>
        <v>0</v>
      </c>
      <c r="AG7" s="203">
        <f t="shared" ref="AG7:AG12" ca="1" si="1">$C$20*AI7+0.001</f>
        <v>1E-3</v>
      </c>
      <c r="AH7" s="204">
        <v>2</v>
      </c>
      <c r="AI7" s="204">
        <v>0.5</v>
      </c>
      <c r="AJ7" s="204">
        <v>0.75</v>
      </c>
      <c r="AK7" s="204" t="s">
        <v>1149</v>
      </c>
    </row>
    <row r="8" spans="2:101" ht="16.5" customHeight="1" x14ac:dyDescent="0.25">
      <c r="B8" s="34" t="s">
        <v>10</v>
      </c>
      <c r="C8" s="249" t="str">
        <f>IF('Indata byggnad och BBR krav'!C13="","",'Indata byggnad och BBR krav'!C13)</f>
        <v/>
      </c>
      <c r="AF8" s="202">
        <f t="shared" ca="1" si="0"/>
        <v>0</v>
      </c>
      <c r="AG8" s="203">
        <f t="shared" ca="1" si="1"/>
        <v>1E-3</v>
      </c>
      <c r="AH8" s="204">
        <v>3</v>
      </c>
      <c r="AI8" s="204">
        <v>0.75</v>
      </c>
      <c r="AJ8" s="204">
        <v>1</v>
      </c>
      <c r="AK8" s="204" t="s">
        <v>1150</v>
      </c>
    </row>
    <row r="9" spans="2:101" ht="16.5" customHeight="1" x14ac:dyDescent="0.25">
      <c r="B9" s="34" t="s">
        <v>12</v>
      </c>
      <c r="C9" s="249" t="str">
        <f>IF('Indata byggnad och BBR krav'!C14="","",'Indata byggnad och BBR krav'!C14)</f>
        <v/>
      </c>
      <c r="AF9" s="202">
        <f t="shared" ca="1" si="0"/>
        <v>0</v>
      </c>
      <c r="AG9" s="203">
        <f t="shared" ca="1" si="1"/>
        <v>1E-3</v>
      </c>
      <c r="AH9" s="204">
        <v>4</v>
      </c>
      <c r="AI9" s="204">
        <v>1</v>
      </c>
      <c r="AJ9" s="204">
        <v>1.35</v>
      </c>
      <c r="AK9" s="204" t="s">
        <v>1151</v>
      </c>
    </row>
    <row r="10" spans="2:101" ht="16.5" customHeight="1" x14ac:dyDescent="0.25">
      <c r="B10" s="113" t="s">
        <v>1210</v>
      </c>
      <c r="C10" s="249">
        <f>IF('Indata byggnad och BBR krav'!C16="","",'Indata byggnad och BBR krav'!C16)</f>
        <v>1000</v>
      </c>
      <c r="AF10" s="202">
        <f t="shared" ca="1" si="0"/>
        <v>0</v>
      </c>
      <c r="AG10" s="203">
        <f t="shared" ca="1" si="1"/>
        <v>1E-3</v>
      </c>
      <c r="AH10" s="204">
        <v>5</v>
      </c>
      <c r="AI10" s="204">
        <v>1.35</v>
      </c>
      <c r="AJ10" s="204">
        <v>1.8</v>
      </c>
      <c r="AK10" s="204" t="s">
        <v>1152</v>
      </c>
    </row>
    <row r="11" spans="2:101" ht="16.5" customHeight="1" x14ac:dyDescent="0.25">
      <c r="B11" s="34" t="s">
        <v>11</v>
      </c>
      <c r="C11" s="249" t="str">
        <f>IF('Indata byggnad och BBR krav'!C15="","",'Indata byggnad och BBR krav'!C15)</f>
        <v>DalsEds</v>
      </c>
      <c r="AF11" s="202">
        <f t="shared" ca="1" si="0"/>
        <v>0</v>
      </c>
      <c r="AG11" s="203">
        <f t="shared" ca="1" si="1"/>
        <v>1E-3</v>
      </c>
      <c r="AH11" s="204">
        <v>6</v>
      </c>
      <c r="AI11" s="204">
        <v>1.8</v>
      </c>
      <c r="AJ11" s="204">
        <v>2.35</v>
      </c>
      <c r="AK11" s="204" t="s">
        <v>1153</v>
      </c>
    </row>
    <row r="12" spans="2:101" ht="16.5" customHeight="1" x14ac:dyDescent="0.25">
      <c r="B12" s="34" t="s">
        <v>1134</v>
      </c>
      <c r="C12" s="249" t="str">
        <f>IF('Indata byggnad och BBR krav'!C8="","",'Indata byggnad och BBR krav'!C8)</f>
        <v/>
      </c>
      <c r="AF12" s="201">
        <f t="shared" ca="1" si="0"/>
        <v>0</v>
      </c>
      <c r="AG12" s="203">
        <f t="shared" ca="1" si="1"/>
        <v>1E-3</v>
      </c>
      <c r="AH12" s="204">
        <v>7</v>
      </c>
      <c r="AI12" s="204">
        <v>2.35</v>
      </c>
      <c r="AJ12" s="204"/>
      <c r="AK12" s="204" t="s">
        <v>1154</v>
      </c>
    </row>
    <row r="13" spans="2:101" ht="16.5" customHeight="1" x14ac:dyDescent="0.25">
      <c r="B13" s="34" t="s">
        <v>1135</v>
      </c>
      <c r="C13" s="249" t="str">
        <f>IF('Indata byggnad och BBR krav'!C9="","",'Indata byggnad och BBR krav'!C9)</f>
        <v/>
      </c>
    </row>
    <row r="14" spans="2:101" ht="16.5" customHeight="1" x14ac:dyDescent="0.25">
      <c r="B14" s="34" t="s">
        <v>1113</v>
      </c>
      <c r="C14" s="271" t="str">
        <f>IF('Indata byggnad och BBR krav'!C9="","",'Indata byggnad och BBR krav'!C10)</f>
        <v/>
      </c>
      <c r="AF14" s="326" t="s">
        <v>1405</v>
      </c>
      <c r="AJ14" s="201" t="s">
        <v>1479</v>
      </c>
    </row>
    <row r="15" spans="2:101" ht="16.5" customHeight="1" x14ac:dyDescent="0.25">
      <c r="AF15" s="201" t="s">
        <v>1317</v>
      </c>
      <c r="AG15" s="201" t="s">
        <v>1487</v>
      </c>
      <c r="AJ15" s="205" t="s">
        <v>1243</v>
      </c>
      <c r="AK15" s="201" t="e">
        <f ca="1">IF(AND($C$21&lt;=-0.3,$C$7="Befintlig byggnad Alternativ 1"),"JA","NEJ")</f>
        <v>#DIV/0!</v>
      </c>
      <c r="AL15" s="201" t="s">
        <v>1472</v>
      </c>
    </row>
    <row r="16" spans="2:101" ht="16.5" customHeight="1" x14ac:dyDescent="0.25">
      <c r="AF16" s="201" t="s">
        <v>1237</v>
      </c>
      <c r="AG16" s="206">
        <f ca="1">Mätvärden!$BK$218</f>
        <v>0</v>
      </c>
      <c r="AJ16" s="205" t="s">
        <v>1244</v>
      </c>
      <c r="AK16" s="201" t="str">
        <f ca="1">IF(AND($C$19&lt;$AF$8,$C$7="Befintlig byggnad Alternativ 2"),"JA","NEJ")</f>
        <v>NEJ</v>
      </c>
      <c r="AL16" s="201" t="s">
        <v>1473</v>
      </c>
    </row>
    <row r="17" spans="2:38" ht="16.5" customHeight="1" x14ac:dyDescent="0.25">
      <c r="B17" s="345" t="s">
        <v>1318</v>
      </c>
      <c r="C17" s="345"/>
      <c r="AF17" s="201" t="s">
        <v>1239</v>
      </c>
      <c r="AG17" s="206">
        <f ca="1">Mätvärden!$BK$219</f>
        <v>0</v>
      </c>
      <c r="AJ17" s="205" t="s">
        <v>1213</v>
      </c>
      <c r="AK17" s="201" t="str">
        <f ca="1">IF(AND($C$19&lt;$AF$7,$C$7="Ny Byggnad"),"JA","NEJ")</f>
        <v>NEJ</v>
      </c>
      <c r="AL17" s="201" t="s">
        <v>1472</v>
      </c>
    </row>
    <row r="18" spans="2:38" ht="16.5" customHeight="1" x14ac:dyDescent="0.25">
      <c r="B18" s="34" t="s">
        <v>1315</v>
      </c>
      <c r="C18" s="249" t="str">
        <f>'Indata byggnad och BBR krav'!$C$24</f>
        <v>BBR29</v>
      </c>
    </row>
    <row r="19" spans="2:38" ht="16.5" customHeight="1" x14ac:dyDescent="0.35">
      <c r="B19" s="34" t="s">
        <v>1316</v>
      </c>
      <c r="C19" s="263">
        <f ca="1">IF($C$7="Befintlig byggnad Alternativ 1",$AG$22,VLOOKUP($C$18,AF16:AG17,2,TRUE))</f>
        <v>0</v>
      </c>
      <c r="D19" t="s">
        <v>1229</v>
      </c>
      <c r="E19" s="207"/>
      <c r="F19" s="207"/>
      <c r="G19" s="207"/>
      <c r="AF19" s="320" t="s">
        <v>1490</v>
      </c>
    </row>
    <row r="20" spans="2:38" ht="16.5" customHeight="1" x14ac:dyDescent="0.35">
      <c r="B20" s="33" t="str">
        <f>IF($C$7="Befintlig byggnad Alternativ 1", "Beräknat primärenergital (EPpet) referensår","BBR krav på primärenergital (EPpet)")</f>
        <v>Beräknat primärenergital (EPpet) referensår</v>
      </c>
      <c r="C20" s="251">
        <f ca="1">IF($C$7="Befintlig byggnad Alternativ 1",$AG$24,'Indata byggnad och BBR krav'!$C$35)</f>
        <v>0</v>
      </c>
      <c r="D20" t="s">
        <v>1229</v>
      </c>
      <c r="AF20" s="326" t="s">
        <v>1243</v>
      </c>
    </row>
    <row r="21" spans="2:38" ht="16.5" customHeight="1" x14ac:dyDescent="0.25">
      <c r="B21" s="34" t="str">
        <f>IF($C$7="Befintlig byggnad Alternativ 1","Ändring av primärenergital (EPpet), %","Energiklass")</f>
        <v>Ändring av primärenergital (EPpet), %</v>
      </c>
      <c r="C21" s="272" t="e">
        <f ca="1">IF($B$21="Energiklass",(OFFSET(AK6,LOOKUP(C19,AG6:AH12)-1,0)),C19/C20-1)</f>
        <v>#DIV/0!</v>
      </c>
      <c r="AF21" s="205" t="s">
        <v>1483</v>
      </c>
      <c r="AG21" s="324" t="s">
        <v>1487</v>
      </c>
      <c r="AH21" s="324" t="s">
        <v>1488</v>
      </c>
    </row>
    <row r="22" spans="2:38" ht="16.5" customHeight="1" x14ac:dyDescent="0.25">
      <c r="B22" s="34" t="str">
        <f>VLOOKUP($C$7,AJ15:AL17,3,TRUE)</f>
        <v>GreenBuilding Kriterium 6 uppfylls (JA/NEJ)</v>
      </c>
      <c r="C22" s="249" t="str">
        <f ca="1">IF(C19&gt;0,VLOOKUP($C$7,AJ15:AK17,2,TRUE),"")</f>
        <v/>
      </c>
      <c r="AF22" s="201" t="s">
        <v>1239</v>
      </c>
      <c r="AG22" s="319">
        <f ca="1">Mätvärden!$BK$219</f>
        <v>0</v>
      </c>
      <c r="AH22" s="206">
        <f ca="1">Mätvärden!$BO$219</f>
        <v>0</v>
      </c>
    </row>
    <row r="23" spans="2:38" ht="15.75" customHeight="1" x14ac:dyDescent="0.25">
      <c r="AF23" s="325" t="s">
        <v>1484</v>
      </c>
    </row>
    <row r="24" spans="2:38" ht="16.5" customHeight="1" x14ac:dyDescent="0.25">
      <c r="B24" s="345" t="s">
        <v>1421</v>
      </c>
      <c r="C24" s="345"/>
      <c r="AF24" s="201" t="s">
        <v>1239</v>
      </c>
      <c r="AG24" s="322">
        <f ca="1">'Mätvärden referensår'!$BK$219</f>
        <v>0</v>
      </c>
      <c r="AH24" s="323">
        <f ca="1">'Mätvärden referensår'!$BO$219</f>
        <v>0</v>
      </c>
    </row>
    <row r="25" spans="2:38" ht="16.5" customHeight="1" x14ac:dyDescent="0.35">
      <c r="B25" s="34" t="s">
        <v>1406</v>
      </c>
      <c r="C25" s="273">
        <f ca="1">IF($C$7="Befintlig byggnad Alternativ 1",$AG$30,$AG$29)</f>
        <v>0</v>
      </c>
      <c r="D25" t="s">
        <v>1366</v>
      </c>
    </row>
    <row r="26" spans="2:38" ht="16.5" customHeight="1" x14ac:dyDescent="0.25">
      <c r="B26" s="60"/>
      <c r="C26" s="273">
        <f ca="1">IF($C$7="Befintlig byggnad Alternativ 1",$AH$30,$AH$29)</f>
        <v>0</v>
      </c>
      <c r="D26" t="s">
        <v>1452</v>
      </c>
    </row>
    <row r="27" spans="2:38" ht="16.5" customHeight="1" x14ac:dyDescent="0.25">
      <c r="B27" s="60"/>
      <c r="C27" s="273">
        <f ca="1">IF($C$7="Befintlig byggnad Alternativ 1",$AI$30,$AI$29)</f>
        <v>0</v>
      </c>
      <c r="D27" t="s">
        <v>1454</v>
      </c>
      <c r="AF27" s="320" t="s">
        <v>1491</v>
      </c>
    </row>
    <row r="28" spans="2:38" ht="29.25" customHeight="1" x14ac:dyDescent="0.25">
      <c r="AF28" s="201" t="s">
        <v>1404</v>
      </c>
      <c r="AG28" s="296" t="s">
        <v>1451</v>
      </c>
      <c r="AH28" s="295" t="s">
        <v>1452</v>
      </c>
      <c r="AI28" s="295" t="s">
        <v>1453</v>
      </c>
    </row>
    <row r="29" spans="2:38" ht="15" customHeight="1" x14ac:dyDescent="0.35">
      <c r="B29" s="34" t="s">
        <v>1418</v>
      </c>
      <c r="C29" s="273">
        <f ca="1">IF($C$7="Befintlig byggnad Alternativ 1",$AG$32,"")</f>
        <v>0</v>
      </c>
      <c r="D29" t="s">
        <v>1366</v>
      </c>
      <c r="F29" s="208"/>
      <c r="G29" s="208"/>
      <c r="AF29" s="205" t="s">
        <v>1405</v>
      </c>
      <c r="AG29" s="327">
        <f ca="1">Mätvärden!$BK$228</f>
        <v>0</v>
      </c>
      <c r="AH29" s="327">
        <f ca="1">Mätvärden!$BK$239</f>
        <v>0</v>
      </c>
      <c r="AI29" s="327">
        <f ca="1">Mätvärden!$BK$250</f>
        <v>0</v>
      </c>
      <c r="AJ29"/>
    </row>
    <row r="30" spans="2:38" ht="15" customHeight="1" x14ac:dyDescent="0.25">
      <c r="B30" s="60"/>
      <c r="C30" s="273">
        <f ca="1">IF($C$7="Befintlig byggnad Alternativ 1",$AH$32,"")</f>
        <v>0</v>
      </c>
      <c r="D30" t="s">
        <v>1452</v>
      </c>
      <c r="F30" s="208"/>
      <c r="G30" s="208"/>
      <c r="AF30" s="205" t="s">
        <v>1489</v>
      </c>
      <c r="AG30" s="319">
        <f ca="1">Mätvärden!$BK$228</f>
        <v>0</v>
      </c>
      <c r="AH30" s="319">
        <f ca="1">Mätvärden!$BK$239</f>
        <v>0</v>
      </c>
      <c r="AI30" s="319">
        <f ca="1">Mätvärden!$BK$250</f>
        <v>0</v>
      </c>
      <c r="AJ30"/>
    </row>
    <row r="31" spans="2:38" ht="15" customHeight="1" x14ac:dyDescent="0.25">
      <c r="B31" s="60"/>
      <c r="C31" s="273">
        <f ca="1">IF($C$7="Befintlig byggnad Alternativ 1",$AI$32,"")</f>
        <v>0</v>
      </c>
      <c r="D31" t="s">
        <v>1454</v>
      </c>
      <c r="F31" s="208"/>
      <c r="G31" s="208"/>
      <c r="AF31" s="205" t="s">
        <v>1486</v>
      </c>
      <c r="AG31" s="327">
        <f ca="1">Mätvärden!$BO$228</f>
        <v>0</v>
      </c>
      <c r="AH31" s="327">
        <f ca="1">Mätvärden!$BO$239</f>
        <v>0</v>
      </c>
      <c r="AI31" s="327">
        <f ca="1">Mätvärden!$BO$250</f>
        <v>0</v>
      </c>
      <c r="AJ31"/>
    </row>
    <row r="32" spans="2:38" ht="15" customHeight="1" x14ac:dyDescent="0.25">
      <c r="E32" s="209"/>
      <c r="F32" s="17"/>
      <c r="G32" s="209"/>
      <c r="AF32" s="325" t="s">
        <v>1485</v>
      </c>
      <c r="AG32" s="319">
        <f ca="1">'Mätvärden referensår'!$BK$228</f>
        <v>0</v>
      </c>
      <c r="AH32" s="319">
        <f ca="1">'Mätvärden referensår'!$BK$239</f>
        <v>0</v>
      </c>
      <c r="AI32" s="319">
        <f ca="1">'Mätvärden referensår'!$BK$250</f>
        <v>0</v>
      </c>
    </row>
    <row r="33" spans="2:43" ht="15" customHeight="1" x14ac:dyDescent="0.25">
      <c r="B33" s="376" t="s">
        <v>1409</v>
      </c>
      <c r="C33" s="378"/>
      <c r="D33" s="377"/>
      <c r="E33" s="9"/>
      <c r="F33" s="376" t="s">
        <v>1410</v>
      </c>
      <c r="G33" s="377"/>
      <c r="I33" s="270" t="s">
        <v>1411</v>
      </c>
      <c r="J33" s="274"/>
      <c r="K33" s="274"/>
      <c r="L33" s="274"/>
      <c r="M33" s="275"/>
      <c r="AF33" s="325" t="s">
        <v>1476</v>
      </c>
      <c r="AG33" s="327">
        <f ca="1">'Mätvärden referensår'!$BO$228</f>
        <v>0</v>
      </c>
      <c r="AH33" s="327">
        <f ca="1">'Mätvärden referensår'!$BO$239</f>
        <v>0</v>
      </c>
      <c r="AI33" s="327">
        <f ca="1">'Mätvärden referensår'!$BO$250</f>
        <v>0</v>
      </c>
    </row>
    <row r="34" spans="2:43" ht="15" customHeight="1" x14ac:dyDescent="0.35">
      <c r="B34" s="210"/>
      <c r="C34" s="211" t="s">
        <v>1144</v>
      </c>
      <c r="D34" s="212" t="s">
        <v>1145</v>
      </c>
      <c r="E34" s="42"/>
      <c r="F34" s="156" t="s">
        <v>1319</v>
      </c>
      <c r="G34" s="249" t="s">
        <v>1205</v>
      </c>
      <c r="I34" s="375" t="s">
        <v>1412</v>
      </c>
      <c r="J34" s="375"/>
      <c r="K34" s="375"/>
      <c r="L34" s="375"/>
      <c r="M34" s="375"/>
    </row>
    <row r="35" spans="2:43" ht="15" customHeight="1" x14ac:dyDescent="0.25">
      <c r="B35" s="213" t="s">
        <v>1416</v>
      </c>
      <c r="C35" s="9" t="s">
        <v>1146</v>
      </c>
      <c r="D35" s="214" t="s">
        <v>1146</v>
      </c>
      <c r="E35" s="215"/>
      <c r="F35" s="156" t="s">
        <v>1320</v>
      </c>
      <c r="G35" s="249" t="str">
        <f ca="1">IF(Mätvärden!$BO$12=1,"NEJ","JA")</f>
        <v>NEJ</v>
      </c>
      <c r="I35" s="116" t="s">
        <v>19</v>
      </c>
      <c r="J35" s="116" t="s">
        <v>1307</v>
      </c>
      <c r="K35" s="116" t="s">
        <v>1308</v>
      </c>
      <c r="L35" s="116" t="s">
        <v>1309</v>
      </c>
      <c r="M35" s="116" t="s">
        <v>1078</v>
      </c>
    </row>
    <row r="36" spans="2:43" ht="15" customHeight="1" x14ac:dyDescent="0.25">
      <c r="B36" s="33" t="s">
        <v>1219</v>
      </c>
      <c r="C36" s="251">
        <f>Mätvärden!$AE$209</f>
        <v>0</v>
      </c>
      <c r="D36" s="263">
        <f ca="1">IF($C$7="Befintlig byggnad Alternativ 1",Mätvärden!$BO$210,Mätvärden!$BK$210)</f>
        <v>0</v>
      </c>
      <c r="E36" s="42"/>
      <c r="F36" s="156" t="s">
        <v>1323</v>
      </c>
      <c r="G36" s="249" t="str">
        <f>IF(Mätvärden!$BD$169="Ja","JA","NEJ")</f>
        <v>NEJ</v>
      </c>
      <c r="I36" s="216" t="s">
        <v>1061</v>
      </c>
      <c r="J36" s="251">
        <f ca="1">VLOOKUP(I36,$AL$39:$AP$50,2,FALSE)</f>
        <v>0</v>
      </c>
      <c r="K36" s="251">
        <f t="shared" ref="K36:K47" ca="1" si="2">VLOOKUP(I36,$AL$39:$AP$50,3,FALSE)</f>
        <v>0</v>
      </c>
      <c r="L36" s="251">
        <f t="shared" ref="L36:L47" ca="1" si="3">VLOOKUP(I36,$AL$39:$AP$50,4,FALSE)</f>
        <v>0</v>
      </c>
      <c r="M36" s="251">
        <f t="shared" ref="M36:M47" ca="1" si="4">VLOOKUP(I36,$AL$39:$AP$50,5,FALSE)</f>
        <v>0</v>
      </c>
    </row>
    <row r="37" spans="2:43" ht="15" customHeight="1" x14ac:dyDescent="0.25">
      <c r="B37" s="217" t="s">
        <v>29</v>
      </c>
      <c r="C37" s="215"/>
      <c r="D37" s="218"/>
      <c r="E37" s="42"/>
      <c r="F37" s="156" t="s">
        <v>1321</v>
      </c>
      <c r="G37" s="249" t="str">
        <f>IF(Mätvärden!$CK$11&gt;0,"JA","NEJ")</f>
        <v>NEJ</v>
      </c>
      <c r="I37" s="216" t="s">
        <v>1062</v>
      </c>
      <c r="J37" s="251">
        <f ca="1">VLOOKUP(I37,$AL$39:$AP$50,2,FALSE)</f>
        <v>0</v>
      </c>
      <c r="K37" s="251">
        <f t="shared" ca="1" si="2"/>
        <v>0</v>
      </c>
      <c r="L37" s="251">
        <f t="shared" ca="1" si="3"/>
        <v>0</v>
      </c>
      <c r="M37" s="251">
        <f t="shared" ca="1" si="4"/>
        <v>0</v>
      </c>
      <c r="AG37" s="201" t="s">
        <v>1132</v>
      </c>
      <c r="AM37" s="201" t="s">
        <v>1314</v>
      </c>
    </row>
    <row r="38" spans="2:43" ht="15" customHeight="1" x14ac:dyDescent="0.25">
      <c r="B38" s="183" t="s">
        <v>22</v>
      </c>
      <c r="C38" s="263">
        <f>Mätvärden!$AE$211</f>
        <v>0</v>
      </c>
      <c r="D38" s="263">
        <f ca="1">IF($C$7="Befintlig byggnad Alternativ 1",Mätvärden!$BO$212,Mätvärden!$BK$212)</f>
        <v>0</v>
      </c>
      <c r="E38" s="42"/>
      <c r="F38" s="156" t="s">
        <v>1322</v>
      </c>
      <c r="G38" s="249" t="s">
        <v>1205</v>
      </c>
      <c r="I38" s="216" t="s">
        <v>1063</v>
      </c>
      <c r="J38" s="251">
        <f t="shared" ref="J38:J47" ca="1" si="5">VLOOKUP(I38,$AL$39:$AP$50,2,FALSE)</f>
        <v>0</v>
      </c>
      <c r="K38" s="251">
        <f t="shared" ca="1" si="2"/>
        <v>0</v>
      </c>
      <c r="L38" s="251">
        <f t="shared" ca="1" si="3"/>
        <v>0</v>
      </c>
      <c r="M38" s="251">
        <f t="shared" ca="1" si="4"/>
        <v>0</v>
      </c>
      <c r="AF38" s="219" t="s">
        <v>19</v>
      </c>
      <c r="AG38" s="219" t="s">
        <v>1307</v>
      </c>
      <c r="AH38" s="219" t="s">
        <v>1308</v>
      </c>
      <c r="AI38" s="219" t="s">
        <v>1309</v>
      </c>
      <c r="AJ38" s="219" t="s">
        <v>1078</v>
      </c>
      <c r="AL38" s="219" t="s">
        <v>19</v>
      </c>
      <c r="AM38" s="219" t="s">
        <v>1307</v>
      </c>
      <c r="AN38" s="219" t="s">
        <v>1308</v>
      </c>
      <c r="AO38" s="219" t="s">
        <v>1309</v>
      </c>
      <c r="AP38" s="219" t="s">
        <v>1078</v>
      </c>
    </row>
    <row r="39" spans="2:43" ht="15" customHeight="1" x14ac:dyDescent="0.25">
      <c r="B39" s="183" t="s">
        <v>23</v>
      </c>
      <c r="C39" s="263">
        <f>Mätvärden!$AE$212</f>
        <v>0</v>
      </c>
      <c r="D39" s="263">
        <f>IF($C$7="Befintlig byggnad Alternativ 1",Mätvärden!$BO$213,Mätvärden!$BK$213)</f>
        <v>0</v>
      </c>
      <c r="E39" s="42"/>
      <c r="F39" s="379" t="s">
        <v>1324</v>
      </c>
      <c r="G39" s="379"/>
      <c r="I39" s="216" t="s">
        <v>1064</v>
      </c>
      <c r="J39" s="251">
        <f t="shared" ca="1" si="5"/>
        <v>0</v>
      </c>
      <c r="K39" s="251">
        <f t="shared" ca="1" si="2"/>
        <v>0</v>
      </c>
      <c r="L39" s="251">
        <f t="shared" ca="1" si="3"/>
        <v>0</v>
      </c>
      <c r="M39" s="251">
        <f t="shared" ca="1" si="4"/>
        <v>0</v>
      </c>
      <c r="AF39" s="219" t="str">
        <f ca="1">Mätvärden!G19</f>
        <v>jan</v>
      </c>
      <c r="AG39" s="220">
        <f>Mätvärden!AU19+Mätvärden!AO105</f>
        <v>0</v>
      </c>
      <c r="AH39" s="220">
        <f>Mätvärden!AU44</f>
        <v>0</v>
      </c>
      <c r="AI39" s="220">
        <f>Mätvärden!AF82</f>
        <v>0</v>
      </c>
      <c r="AJ39" s="220">
        <f>Mätvärden!AJ105</f>
        <v>0</v>
      </c>
      <c r="AL39" s="219" t="str">
        <f ca="1">AF39</f>
        <v>jan</v>
      </c>
      <c r="AM39" s="220">
        <f>AG39*1000/'Indata byggnad och BBR krav'!$C$16</f>
        <v>0</v>
      </c>
      <c r="AN39" s="220">
        <f>AH39*1000/'Indata byggnad och BBR krav'!$C$16</f>
        <v>0</v>
      </c>
      <c r="AO39" s="220">
        <f>AI39*1000/'Indata byggnad och BBR krav'!$C$16</f>
        <v>0</v>
      </c>
      <c r="AP39" s="220">
        <f>AJ39*1000/'Indata byggnad och BBR krav'!$C$16</f>
        <v>0</v>
      </c>
      <c r="AQ39" s="206"/>
    </row>
    <row r="40" spans="2:43" ht="15" customHeight="1" x14ac:dyDescent="0.25">
      <c r="B40" s="183" t="s">
        <v>24</v>
      </c>
      <c r="C40" s="263">
        <f>Mätvärden!$AE$213</f>
        <v>0</v>
      </c>
      <c r="D40" s="263">
        <f>IF($C$7="Befintlig byggnad Alternativ 1",Mätvärden!$BO$214,Mätvärden!$BK$214)</f>
        <v>0</v>
      </c>
      <c r="F40" s="408"/>
      <c r="G40" s="409"/>
      <c r="I40" s="216" t="s">
        <v>1065</v>
      </c>
      <c r="J40" s="251">
        <f t="shared" ca="1" si="5"/>
        <v>0</v>
      </c>
      <c r="K40" s="251">
        <f t="shared" ca="1" si="2"/>
        <v>0</v>
      </c>
      <c r="L40" s="251">
        <f t="shared" ca="1" si="3"/>
        <v>0</v>
      </c>
      <c r="M40" s="251">
        <f t="shared" ca="1" si="4"/>
        <v>0</v>
      </c>
      <c r="AF40" s="219" t="str">
        <f ca="1">Mätvärden!G20</f>
        <v>feb</v>
      </c>
      <c r="AG40" s="220">
        <f>Mätvärden!AU20+Mätvärden!AO106</f>
        <v>0</v>
      </c>
      <c r="AH40" s="220">
        <f>Mätvärden!AU45</f>
        <v>0</v>
      </c>
      <c r="AI40" s="220">
        <f>Mätvärden!AF83</f>
        <v>0</v>
      </c>
      <c r="AJ40" s="220">
        <f>Mätvärden!AJ106</f>
        <v>0</v>
      </c>
      <c r="AL40" s="219" t="str">
        <f t="shared" ref="AL40:AL50" ca="1" si="6">AF40</f>
        <v>feb</v>
      </c>
      <c r="AM40" s="220">
        <f>AG40*1000/'Indata byggnad och BBR krav'!$C$16</f>
        <v>0</v>
      </c>
      <c r="AN40" s="220">
        <f>AH40*1000/'Indata byggnad och BBR krav'!$C$16</f>
        <v>0</v>
      </c>
      <c r="AO40" s="220">
        <f>AI40*1000/'Indata byggnad och BBR krav'!$C$16</f>
        <v>0</v>
      </c>
      <c r="AP40" s="220">
        <f>AJ40*1000/'Indata byggnad och BBR krav'!$C$16</f>
        <v>0</v>
      </c>
    </row>
    <row r="41" spans="2:43" ht="15" customHeight="1" x14ac:dyDescent="0.25">
      <c r="B41" s="183" t="s">
        <v>1078</v>
      </c>
      <c r="C41" s="263">
        <f>Mätvärden!$AE$214</f>
        <v>0</v>
      </c>
      <c r="D41" s="263">
        <f>IF($C$7="Befintlig byggnad Alternativ 1",Mätvärden!$BO$215,Mätvärden!$BK$215)</f>
        <v>0</v>
      </c>
      <c r="F41" s="410"/>
      <c r="G41" s="411"/>
      <c r="I41" s="216" t="s">
        <v>1066</v>
      </c>
      <c r="J41" s="251">
        <f t="shared" ca="1" si="5"/>
        <v>0</v>
      </c>
      <c r="K41" s="251">
        <f t="shared" ca="1" si="2"/>
        <v>0</v>
      </c>
      <c r="L41" s="251">
        <f t="shared" ca="1" si="3"/>
        <v>0</v>
      </c>
      <c r="M41" s="251">
        <f t="shared" ca="1" si="4"/>
        <v>0</v>
      </c>
      <c r="AF41" s="219" t="str">
        <f ca="1">Mätvärden!G21</f>
        <v>mars</v>
      </c>
      <c r="AG41" s="220">
        <f>Mätvärden!AU21+Mätvärden!AO107</f>
        <v>0</v>
      </c>
      <c r="AH41" s="220">
        <f>Mätvärden!AU46</f>
        <v>0</v>
      </c>
      <c r="AI41" s="220">
        <f>Mätvärden!AF84</f>
        <v>0</v>
      </c>
      <c r="AJ41" s="220">
        <f>Mätvärden!AJ107</f>
        <v>0</v>
      </c>
      <c r="AL41" s="219" t="str">
        <f t="shared" ca="1" si="6"/>
        <v>mars</v>
      </c>
      <c r="AM41" s="220">
        <f>AG41*1000/'Indata byggnad och BBR krav'!$C$16</f>
        <v>0</v>
      </c>
      <c r="AN41" s="220">
        <f>AH41*1000/'Indata byggnad och BBR krav'!$C$16</f>
        <v>0</v>
      </c>
      <c r="AO41" s="220">
        <f>AI41*1000/'Indata byggnad och BBR krav'!$C$16</f>
        <v>0</v>
      </c>
      <c r="AP41" s="220">
        <f>AJ41*1000/'Indata byggnad och BBR krav'!$C$16</f>
        <v>0</v>
      </c>
    </row>
    <row r="42" spans="2:43" ht="15" customHeight="1" x14ac:dyDescent="0.25">
      <c r="F42" s="410"/>
      <c r="G42" s="411"/>
      <c r="I42" s="216" t="s">
        <v>1067</v>
      </c>
      <c r="J42" s="251">
        <f t="shared" ca="1" si="5"/>
        <v>0</v>
      </c>
      <c r="K42" s="251">
        <f t="shared" ca="1" si="2"/>
        <v>0</v>
      </c>
      <c r="L42" s="251">
        <f t="shared" ca="1" si="3"/>
        <v>0</v>
      </c>
      <c r="M42" s="251">
        <f t="shared" ca="1" si="4"/>
        <v>0</v>
      </c>
      <c r="AF42" s="219" t="str">
        <f ca="1">Mätvärden!G22</f>
        <v>apr</v>
      </c>
      <c r="AG42" s="220">
        <f>Mätvärden!AU22+Mätvärden!AO108</f>
        <v>0</v>
      </c>
      <c r="AH42" s="220">
        <f>Mätvärden!AU47</f>
        <v>0</v>
      </c>
      <c r="AI42" s="220">
        <f>Mätvärden!AF85</f>
        <v>0</v>
      </c>
      <c r="AJ42" s="220">
        <f>Mätvärden!AJ108</f>
        <v>0</v>
      </c>
      <c r="AL42" s="219" t="str">
        <f t="shared" ca="1" si="6"/>
        <v>apr</v>
      </c>
      <c r="AM42" s="220">
        <f>AG42*1000/'Indata byggnad och BBR krav'!$C$16</f>
        <v>0</v>
      </c>
      <c r="AN42" s="220">
        <f>AH42*1000/'Indata byggnad och BBR krav'!$C$16</f>
        <v>0</v>
      </c>
      <c r="AO42" s="220">
        <f>AI42*1000/'Indata byggnad och BBR krav'!$C$16</f>
        <v>0</v>
      </c>
      <c r="AP42" s="220">
        <f>AJ42*1000/'Indata byggnad och BBR krav'!$C$16</f>
        <v>0</v>
      </c>
    </row>
    <row r="43" spans="2:43" ht="15" customHeight="1" x14ac:dyDescent="0.35">
      <c r="B43" s="376" t="s">
        <v>1447</v>
      </c>
      <c r="C43" s="378"/>
      <c r="D43" s="377"/>
      <c r="F43" s="410"/>
      <c r="G43" s="411"/>
      <c r="I43" s="216" t="s">
        <v>1068</v>
      </c>
      <c r="J43" s="251">
        <f t="shared" ca="1" si="5"/>
        <v>0</v>
      </c>
      <c r="K43" s="251">
        <f t="shared" ca="1" si="2"/>
        <v>0</v>
      </c>
      <c r="L43" s="251">
        <f t="shared" ca="1" si="3"/>
        <v>0</v>
      </c>
      <c r="M43" s="251">
        <f t="shared" ca="1" si="4"/>
        <v>0</v>
      </c>
      <c r="AF43" s="219" t="str">
        <f ca="1">Mätvärden!G23</f>
        <v>maj</v>
      </c>
      <c r="AG43" s="220">
        <f>Mätvärden!AU23+Mätvärden!AO109</f>
        <v>0</v>
      </c>
      <c r="AH43" s="220">
        <f>Mätvärden!AU48</f>
        <v>0</v>
      </c>
      <c r="AI43" s="220">
        <f>Mätvärden!AF86</f>
        <v>0</v>
      </c>
      <c r="AJ43" s="220">
        <f>Mätvärden!AJ109</f>
        <v>0</v>
      </c>
      <c r="AL43" s="219" t="str">
        <f t="shared" ca="1" si="6"/>
        <v>maj</v>
      </c>
      <c r="AM43" s="220">
        <f>AG43*1000/'Indata byggnad och BBR krav'!$C$16</f>
        <v>0</v>
      </c>
      <c r="AN43" s="220">
        <f>AH43*1000/'Indata byggnad och BBR krav'!$C$16</f>
        <v>0</v>
      </c>
      <c r="AO43" s="220">
        <f>AI43*1000/'Indata byggnad och BBR krav'!$C$16</f>
        <v>0</v>
      </c>
      <c r="AP43" s="220">
        <f>AJ43*1000/'Indata byggnad och BBR krav'!$C$16</f>
        <v>0</v>
      </c>
    </row>
    <row r="44" spans="2:43" ht="14.25" customHeight="1" x14ac:dyDescent="0.25">
      <c r="B44" s="210"/>
      <c r="C44" s="211" t="s">
        <v>1144</v>
      </c>
      <c r="D44" s="212" t="s">
        <v>1145</v>
      </c>
      <c r="F44" s="410"/>
      <c r="G44" s="411"/>
      <c r="I44" s="216" t="s">
        <v>1069</v>
      </c>
      <c r="J44" s="251">
        <f t="shared" ca="1" si="5"/>
        <v>0</v>
      </c>
      <c r="K44" s="251">
        <f t="shared" ca="1" si="2"/>
        <v>0</v>
      </c>
      <c r="L44" s="251">
        <f t="shared" ca="1" si="3"/>
        <v>0</v>
      </c>
      <c r="M44" s="251">
        <f t="shared" ca="1" si="4"/>
        <v>0</v>
      </c>
      <c r="AF44" s="219" t="str">
        <f ca="1">Mätvärden!G24</f>
        <v xml:space="preserve">jun </v>
      </c>
      <c r="AG44" s="220">
        <f>Mätvärden!AU24+Mätvärden!AO110</f>
        <v>0</v>
      </c>
      <c r="AH44" s="220">
        <f>Mätvärden!AU49</f>
        <v>0</v>
      </c>
      <c r="AI44" s="220">
        <f>Mätvärden!AF87</f>
        <v>0</v>
      </c>
      <c r="AJ44" s="220">
        <f>Mätvärden!AJ110</f>
        <v>0</v>
      </c>
      <c r="AL44" s="219" t="str">
        <f t="shared" ca="1" si="6"/>
        <v xml:space="preserve">jun </v>
      </c>
      <c r="AM44" s="220">
        <f>AG44*1000/'Indata byggnad och BBR krav'!$C$16</f>
        <v>0</v>
      </c>
      <c r="AN44" s="220">
        <f>AH44*1000/'Indata byggnad och BBR krav'!$C$16</f>
        <v>0</v>
      </c>
      <c r="AO44" s="220">
        <f>AI44*1000/'Indata byggnad och BBR krav'!$C$16</f>
        <v>0</v>
      </c>
      <c r="AP44" s="220">
        <f>AJ44*1000/'Indata byggnad och BBR krav'!$C$16</f>
        <v>0</v>
      </c>
    </row>
    <row r="45" spans="2:43" ht="15.75" customHeight="1" x14ac:dyDescent="0.25">
      <c r="B45" s="213" t="s">
        <v>1417</v>
      </c>
      <c r="C45" s="9" t="s">
        <v>1146</v>
      </c>
      <c r="D45" s="214" t="s">
        <v>1146</v>
      </c>
      <c r="F45" s="410"/>
      <c r="G45" s="411"/>
      <c r="I45" s="216" t="s">
        <v>1070</v>
      </c>
      <c r="J45" s="251">
        <f t="shared" ca="1" si="5"/>
        <v>0</v>
      </c>
      <c r="K45" s="251">
        <f t="shared" ca="1" si="2"/>
        <v>0</v>
      </c>
      <c r="L45" s="251">
        <f t="shared" ca="1" si="3"/>
        <v>0</v>
      </c>
      <c r="M45" s="251">
        <f t="shared" ca="1" si="4"/>
        <v>0</v>
      </c>
      <c r="AF45" s="219" t="str">
        <f ca="1">Mätvärden!G25</f>
        <v>jul</v>
      </c>
      <c r="AG45" s="220">
        <f>Mätvärden!AU25+Mätvärden!AO111</f>
        <v>0</v>
      </c>
      <c r="AH45" s="220">
        <f>Mätvärden!AU50</f>
        <v>0</v>
      </c>
      <c r="AI45" s="220">
        <f>Mätvärden!AF88</f>
        <v>0</v>
      </c>
      <c r="AJ45" s="220">
        <f>Mätvärden!AJ111</f>
        <v>0</v>
      </c>
      <c r="AL45" s="219" t="str">
        <f t="shared" ca="1" si="6"/>
        <v>jul</v>
      </c>
      <c r="AM45" s="220">
        <f>AG45*1000/'Indata byggnad och BBR krav'!$C$16</f>
        <v>0</v>
      </c>
      <c r="AN45" s="220">
        <f>AH45*1000/'Indata byggnad och BBR krav'!$C$16</f>
        <v>0</v>
      </c>
      <c r="AO45" s="220">
        <f>AI45*1000/'Indata byggnad och BBR krav'!$C$16</f>
        <v>0</v>
      </c>
      <c r="AP45" s="220">
        <f>AJ45*1000/'Indata byggnad och BBR krav'!$C$16</f>
        <v>0</v>
      </c>
    </row>
    <row r="46" spans="2:43" ht="15.75" customHeight="1" x14ac:dyDescent="0.25">
      <c r="B46" s="183" t="str">
        <f>IF('Indata byggnad och BBR krav'!C17&gt;0,"Hushållsenergi","Hushållsenergi (Finns ej)")</f>
        <v>Hushållsenergi</v>
      </c>
      <c r="C46" s="251" t="str">
        <f>IF(AND('Indata byggnad och BBR krav'!$C$17&gt;0,Mätvärden!$BD$166&gt;0),Mätvärden!$BD$166,"-")</f>
        <v>-</v>
      </c>
      <c r="D46" s="249" t="str">
        <f>IF(Resultat!$C$46="-","-",Mätvärden!$BD$167)</f>
        <v>-</v>
      </c>
      <c r="F46" s="410"/>
      <c r="G46" s="411"/>
      <c r="I46" s="216" t="s">
        <v>1071</v>
      </c>
      <c r="J46" s="251">
        <f t="shared" ca="1" si="5"/>
        <v>0</v>
      </c>
      <c r="K46" s="251">
        <f t="shared" ca="1" si="2"/>
        <v>0</v>
      </c>
      <c r="L46" s="251">
        <f t="shared" ca="1" si="3"/>
        <v>0</v>
      </c>
      <c r="M46" s="251">
        <f t="shared" ca="1" si="4"/>
        <v>0</v>
      </c>
      <c r="AF46" s="219" t="str">
        <f ca="1">Mätvärden!G26</f>
        <v>aug</v>
      </c>
      <c r="AG46" s="220">
        <f>Mätvärden!AU26+Mätvärden!AO112</f>
        <v>0</v>
      </c>
      <c r="AH46" s="220">
        <f>Mätvärden!AU51</f>
        <v>0</v>
      </c>
      <c r="AI46" s="220">
        <f>Mätvärden!AF89</f>
        <v>0</v>
      </c>
      <c r="AJ46" s="220">
        <f>Mätvärden!AJ112</f>
        <v>0</v>
      </c>
      <c r="AL46" s="219" t="str">
        <f t="shared" ca="1" si="6"/>
        <v>aug</v>
      </c>
      <c r="AM46" s="220">
        <f>AG46*1000/'Indata byggnad och BBR krav'!$C$16</f>
        <v>0</v>
      </c>
      <c r="AN46" s="220">
        <f>AH46*1000/'Indata byggnad och BBR krav'!$C$16</f>
        <v>0</v>
      </c>
      <c r="AO46" s="220">
        <f>AI46*1000/'Indata byggnad och BBR krav'!$C$16</f>
        <v>0</v>
      </c>
      <c r="AP46" s="220">
        <f>AJ46*1000/'Indata byggnad och BBR krav'!$C$16</f>
        <v>0</v>
      </c>
    </row>
    <row r="47" spans="2:43" ht="15.75" customHeight="1" x14ac:dyDescent="0.25">
      <c r="B47" s="156" t="str">
        <f>IF('Indata byggnad och BBR krav'!C18&gt;0,"Verksamhetsenergi","Verksamhetsenergi (Finns ej)")</f>
        <v>Verksamhetsenergi</v>
      </c>
      <c r="C47" s="251" t="str">
        <f>IF(AND('Indata byggnad och BBR krav'!$C$18&gt;0,Mätvärden!$AB$165&gt;0),Mätvärden!$AB$165,"-")</f>
        <v>-</v>
      </c>
      <c r="D47" s="249" t="s">
        <v>1374</v>
      </c>
      <c r="F47" s="412"/>
      <c r="G47" s="413"/>
      <c r="I47" s="216" t="s">
        <v>1072</v>
      </c>
      <c r="J47" s="251">
        <f t="shared" ca="1" si="5"/>
        <v>0</v>
      </c>
      <c r="K47" s="251">
        <f t="shared" ca="1" si="2"/>
        <v>0</v>
      </c>
      <c r="L47" s="251">
        <f t="shared" ca="1" si="3"/>
        <v>0</v>
      </c>
      <c r="M47" s="251">
        <f t="shared" ca="1" si="4"/>
        <v>0</v>
      </c>
      <c r="AF47" s="219" t="str">
        <f ca="1">Mätvärden!G27</f>
        <v>sept</v>
      </c>
      <c r="AG47" s="220">
        <f>Mätvärden!AU27+Mätvärden!AO113</f>
        <v>0</v>
      </c>
      <c r="AH47" s="220">
        <f>Mätvärden!AU52</f>
        <v>0</v>
      </c>
      <c r="AI47" s="220">
        <f>Mätvärden!AF90</f>
        <v>0</v>
      </c>
      <c r="AJ47" s="220">
        <f>Mätvärden!AJ113</f>
        <v>0</v>
      </c>
      <c r="AL47" s="219" t="str">
        <f t="shared" ca="1" si="6"/>
        <v>sept</v>
      </c>
      <c r="AM47" s="220">
        <f>AG47*1000/'Indata byggnad och BBR krav'!$C$16</f>
        <v>0</v>
      </c>
      <c r="AN47" s="220">
        <f>AH47*1000/'Indata byggnad och BBR krav'!$C$16</f>
        <v>0</v>
      </c>
      <c r="AO47" s="220">
        <f>AI47*1000/'Indata byggnad och BBR krav'!$C$16</f>
        <v>0</v>
      </c>
      <c r="AP47" s="220">
        <f>AJ47*1000/'Indata byggnad och BBR krav'!$C$16</f>
        <v>0</v>
      </c>
    </row>
    <row r="48" spans="2:43" ht="15.75" customHeight="1" x14ac:dyDescent="0.25">
      <c r="C48" s="223"/>
      <c r="D48" s="3"/>
      <c r="I48" s="3"/>
      <c r="J48" s="223"/>
      <c r="K48" s="223"/>
      <c r="L48" s="223"/>
      <c r="M48" s="223"/>
      <c r="AF48" s="219" t="str">
        <f ca="1">Mätvärden!G28</f>
        <v>okt</v>
      </c>
      <c r="AG48" s="220">
        <f>Mätvärden!AU28+Mätvärden!AO114</f>
        <v>0</v>
      </c>
      <c r="AH48" s="220">
        <f>Mätvärden!AU53</f>
        <v>0</v>
      </c>
      <c r="AI48" s="220">
        <f>Mätvärden!AF91</f>
        <v>0</v>
      </c>
      <c r="AJ48" s="220">
        <f>Mätvärden!AJ114</f>
        <v>0</v>
      </c>
      <c r="AL48" s="219" t="str">
        <f t="shared" ca="1" si="6"/>
        <v>okt</v>
      </c>
      <c r="AM48" s="220">
        <f>AG48*1000/'Indata byggnad och BBR krav'!$C$16</f>
        <v>0</v>
      </c>
      <c r="AN48" s="220">
        <f>AH48*1000/'Indata byggnad och BBR krav'!$C$16</f>
        <v>0</v>
      </c>
      <c r="AO48" s="220">
        <f>AI48*1000/'Indata byggnad och BBR krav'!$C$16</f>
        <v>0</v>
      </c>
      <c r="AP48" s="220">
        <f>AJ48*1000/'Indata byggnad och BBR krav'!$C$16</f>
        <v>0</v>
      </c>
    </row>
    <row r="49" spans="2:43" ht="15.75" customHeight="1" x14ac:dyDescent="0.25">
      <c r="B49" s="150" t="s">
        <v>1477</v>
      </c>
      <c r="D49" s="301"/>
      <c r="AF49" s="219" t="str">
        <f ca="1">Mätvärden!G29</f>
        <v>nov</v>
      </c>
      <c r="AG49" s="220">
        <f>Mätvärden!AU29+Mätvärden!AO115</f>
        <v>0</v>
      </c>
      <c r="AH49" s="220">
        <f>Mätvärden!AU54</f>
        <v>0</v>
      </c>
      <c r="AI49" s="220">
        <f>Mätvärden!AF92</f>
        <v>0</v>
      </c>
      <c r="AJ49" s="220">
        <f>Mätvärden!AJ115</f>
        <v>0</v>
      </c>
      <c r="AL49" s="219" t="str">
        <f t="shared" ca="1" si="6"/>
        <v>nov</v>
      </c>
      <c r="AM49" s="220">
        <f>AG49*1000/'Indata byggnad och BBR krav'!$C$16</f>
        <v>0</v>
      </c>
      <c r="AN49" s="220">
        <f>AH49*1000/'Indata byggnad och BBR krav'!$C$16</f>
        <v>0</v>
      </c>
      <c r="AO49" s="220">
        <f>AI49*1000/'Indata byggnad och BBR krav'!$C$16</f>
        <v>0</v>
      </c>
      <c r="AP49" s="220">
        <f>AJ49*1000/'Indata byggnad och BBR krav'!$C$16</f>
        <v>0</v>
      </c>
    </row>
    <row r="50" spans="2:43" ht="15.75" customHeight="1" x14ac:dyDescent="0.25">
      <c r="B50" s="302" t="s">
        <v>1455</v>
      </c>
      <c r="C50" s="303"/>
      <c r="D50" s="304"/>
      <c r="F50" s="376" t="s">
        <v>1457</v>
      </c>
      <c r="G50" s="377"/>
      <c r="I50" s="270" t="s">
        <v>1458</v>
      </c>
      <c r="J50" s="268"/>
      <c r="K50" s="268"/>
      <c r="L50" s="268"/>
      <c r="M50" s="276"/>
      <c r="AF50" s="219" t="str">
        <f ca="1">Mätvärden!G30</f>
        <v>dec</v>
      </c>
      <c r="AG50" s="220">
        <f>Mätvärden!AU30+Mätvärden!AO116</f>
        <v>0</v>
      </c>
      <c r="AH50" s="220">
        <f>Mätvärden!AU55</f>
        <v>0</v>
      </c>
      <c r="AI50" s="220">
        <f>Mätvärden!AF93</f>
        <v>0</v>
      </c>
      <c r="AJ50" s="220">
        <f>Mätvärden!AJ116</f>
        <v>0</v>
      </c>
      <c r="AL50" s="219" t="str">
        <f t="shared" ca="1" si="6"/>
        <v>dec</v>
      </c>
      <c r="AM50" s="220">
        <f>AG50*1000/'Indata byggnad och BBR krav'!$C$16</f>
        <v>0</v>
      </c>
      <c r="AN50" s="220">
        <f>AH50*1000/'Indata byggnad och BBR krav'!$C$16</f>
        <v>0</v>
      </c>
      <c r="AO50" s="220">
        <f>AI50*1000/'Indata byggnad och BBR krav'!$C$16</f>
        <v>0</v>
      </c>
      <c r="AP50" s="220">
        <f>AJ50*1000/'Indata byggnad och BBR krav'!$C$16</f>
        <v>0</v>
      </c>
    </row>
    <row r="51" spans="2:43" ht="15.75" customHeight="1" x14ac:dyDescent="0.35">
      <c r="C51" s="209" t="s">
        <v>1144</v>
      </c>
      <c r="D51" s="209" t="s">
        <v>1145</v>
      </c>
      <c r="F51" s="156" t="s">
        <v>1319</v>
      </c>
      <c r="G51" s="249" t="s">
        <v>1205</v>
      </c>
      <c r="I51" s="375" t="s">
        <v>1412</v>
      </c>
      <c r="J51" s="375"/>
      <c r="K51" s="375"/>
      <c r="L51" s="375"/>
      <c r="M51" s="375"/>
      <c r="AF51" s="201" t="s">
        <v>1094</v>
      </c>
      <c r="AG51" s="206">
        <f>SUM(AG39:AG50)</f>
        <v>0</v>
      </c>
      <c r="AH51" s="206">
        <f>SUM(AH39:AH50)</f>
        <v>0</v>
      </c>
      <c r="AI51" s="206">
        <f>SUM(AI39:AI50)</f>
        <v>0</v>
      </c>
      <c r="AJ51" s="206">
        <f>SUM(AJ39:AJ50)</f>
        <v>0</v>
      </c>
      <c r="AK51" s="221">
        <f>AG51+AH51+AI51+AJ51</f>
        <v>0</v>
      </c>
      <c r="AL51" s="201" t="s">
        <v>1094</v>
      </c>
      <c r="AM51" s="206">
        <f>SUM(AM39:AM50)</f>
        <v>0</v>
      </c>
      <c r="AN51" s="206">
        <f>SUM(AN39:AN50)</f>
        <v>0</v>
      </c>
      <c r="AO51" s="206">
        <f>SUM(AO39:AO50)</f>
        <v>0</v>
      </c>
      <c r="AP51" s="206">
        <f>SUM(AP39:AP50)</f>
        <v>0</v>
      </c>
      <c r="AQ51" s="202">
        <f>AM51+AN51+AO51+AP51</f>
        <v>0</v>
      </c>
    </row>
    <row r="52" spans="2:43" ht="15.75" customHeight="1" x14ac:dyDescent="0.25">
      <c r="C52" s="9" t="s">
        <v>1146</v>
      </c>
      <c r="D52" s="9" t="s">
        <v>1146</v>
      </c>
      <c r="F52" s="156" t="s">
        <v>1320</v>
      </c>
      <c r="G52" s="249" t="str">
        <f ca="1">IF('Mätvärden referensår'!$BO$12=1,"NEJ","JA")</f>
        <v>NEJ</v>
      </c>
      <c r="I52" s="116" t="s">
        <v>19</v>
      </c>
      <c r="J52" s="116" t="s">
        <v>1307</v>
      </c>
      <c r="K52" s="116" t="s">
        <v>1308</v>
      </c>
      <c r="L52" s="116" t="s">
        <v>1309</v>
      </c>
      <c r="M52" s="116" t="s">
        <v>1078</v>
      </c>
    </row>
    <row r="53" spans="2:43" ht="15.75" customHeight="1" x14ac:dyDescent="0.25">
      <c r="B53" s="33" t="s">
        <v>1219</v>
      </c>
      <c r="C53" s="251">
        <f>IF($C$7="Befintlig byggnad Alternativ 1",'Mätvärden referensår'!AE209,0)</f>
        <v>0</v>
      </c>
      <c r="D53" s="263">
        <f ca="1">IF($C$7="Befintlig byggnad Alternativ 1",'Mätvärden referensår'!$BO$210,0)</f>
        <v>0</v>
      </c>
      <c r="F53" s="156" t="s">
        <v>1323</v>
      </c>
      <c r="G53" s="249" t="str">
        <f>IF('Mätvärden referensår'!$BD$169="Ja","JA","NEJ")</f>
        <v>NEJ</v>
      </c>
      <c r="I53" s="216" t="s">
        <v>1061</v>
      </c>
      <c r="J53" s="251">
        <f ca="1">IF($C$7="Befintlig byggnad Alternativ 1",VLOOKUP(I53,$AL$56:$AP$67,2,FALSE),0)</f>
        <v>0</v>
      </c>
      <c r="K53" s="251">
        <f ca="1">IF($C$7="Befintlig byggnad Alternativ 1",VLOOKUP(I53,$AL$56:$AP$67,3,FALSE),0)</f>
        <v>0</v>
      </c>
      <c r="L53" s="251">
        <f ca="1">IF($C$7="Befintlig byggnad Alternativ 1",VLOOKUP(I53,$AL$56:$AP$67,4,FALSE),0)</f>
        <v>0</v>
      </c>
      <c r="M53" s="251">
        <f ca="1">IF($C$7="Befintlig byggnad Alternativ 1",VLOOKUP(I53,$AL$56:$AP$67,5,FALSE),0)</f>
        <v>0</v>
      </c>
      <c r="AF53" s="222" t="s">
        <v>1403</v>
      </c>
    </row>
    <row r="54" spans="2:43" ht="15.75" customHeight="1" x14ac:dyDescent="0.25">
      <c r="B54" s="215" t="s">
        <v>29</v>
      </c>
      <c r="C54" s="215"/>
      <c r="D54" s="218"/>
      <c r="F54" s="156" t="s">
        <v>1321</v>
      </c>
      <c r="G54" s="249" t="str">
        <f>IF('Mätvärden referensår'!$CK$11&gt;0,"JA","NEJ")</f>
        <v>NEJ</v>
      </c>
      <c r="I54" s="216" t="s">
        <v>1062</v>
      </c>
      <c r="J54" s="251">
        <f t="shared" ref="J54:J64" ca="1" si="7">IF($C$7="Befintlig byggnad Alternativ 1",VLOOKUP(I54,$AL$56:$AP$67,2,FALSE),0)</f>
        <v>0</v>
      </c>
      <c r="K54" s="251">
        <f t="shared" ref="K54:K64" ca="1" si="8">IF($C$7="Befintlig byggnad Alternativ 1",VLOOKUP(I54,$AL$56:$AP$67,3,FALSE),0)</f>
        <v>0</v>
      </c>
      <c r="L54" s="251">
        <f t="shared" ref="L54:L64" ca="1" si="9">IF($C$7="Befintlig byggnad Alternativ 1",VLOOKUP(I54,$AL$56:$AP$67,4,FALSE),0)</f>
        <v>0</v>
      </c>
      <c r="M54" s="251">
        <f t="shared" ref="M54:M64" ca="1" si="10">IF($C$7="Befintlig byggnad Alternativ 1",VLOOKUP(I54,$AL$56:$AP$67,5,FALSE),0)</f>
        <v>0</v>
      </c>
      <c r="AG54" s="201" t="s">
        <v>1132</v>
      </c>
      <c r="AM54" s="201" t="s">
        <v>1314</v>
      </c>
    </row>
    <row r="55" spans="2:43" ht="15.75" customHeight="1" x14ac:dyDescent="0.25">
      <c r="B55" s="183" t="s">
        <v>22</v>
      </c>
      <c r="C55" s="263">
        <f>IF($C$7="Befintlig byggnad Alternativ 1",'Mätvärden referensår'!$AE$211)</f>
        <v>0</v>
      </c>
      <c r="D55" s="263">
        <f ca="1">IF($C$7="Befintlig byggnad Alternativ 1",'Mätvärden referensår'!$BO$212,0)</f>
        <v>0</v>
      </c>
      <c r="F55" s="156" t="s">
        <v>1322</v>
      </c>
      <c r="G55" s="249" t="s">
        <v>1205</v>
      </c>
      <c r="I55" s="216" t="s">
        <v>1063</v>
      </c>
      <c r="J55" s="251">
        <f t="shared" ca="1" si="7"/>
        <v>0</v>
      </c>
      <c r="K55" s="251">
        <f t="shared" ca="1" si="8"/>
        <v>0</v>
      </c>
      <c r="L55" s="251">
        <f t="shared" ca="1" si="9"/>
        <v>0</v>
      </c>
      <c r="M55" s="251">
        <f t="shared" ca="1" si="10"/>
        <v>0</v>
      </c>
      <c r="AF55" s="219" t="s">
        <v>19</v>
      </c>
      <c r="AG55" s="219" t="s">
        <v>1307</v>
      </c>
      <c r="AH55" s="219" t="s">
        <v>1308</v>
      </c>
      <c r="AI55" s="219" t="s">
        <v>1309</v>
      </c>
      <c r="AJ55" s="219" t="s">
        <v>1078</v>
      </c>
      <c r="AL55" s="219" t="s">
        <v>19</v>
      </c>
      <c r="AM55" s="219" t="s">
        <v>1307</v>
      </c>
      <c r="AN55" s="219" t="s">
        <v>1308</v>
      </c>
      <c r="AO55" s="219" t="s">
        <v>1309</v>
      </c>
      <c r="AP55" s="219" t="s">
        <v>1078</v>
      </c>
    </row>
    <row r="56" spans="2:43" ht="15.75" customHeight="1" x14ac:dyDescent="0.25">
      <c r="B56" s="183" t="s">
        <v>23</v>
      </c>
      <c r="C56" s="263">
        <f>IF($C$7="Befintlig byggnad Alternativ 1",'Mätvärden referensår'!$AE$212,0)</f>
        <v>0</v>
      </c>
      <c r="D56" s="263">
        <f>IF($C$7="Befintlig byggnad Alternativ 1",'Mätvärden referensår'!$BO$213,0)</f>
        <v>0</v>
      </c>
      <c r="F56" s="379" t="s">
        <v>1324</v>
      </c>
      <c r="G56" s="379"/>
      <c r="I56" s="216" t="s">
        <v>1064</v>
      </c>
      <c r="J56" s="251">
        <f t="shared" ca="1" si="7"/>
        <v>0</v>
      </c>
      <c r="K56" s="251">
        <f t="shared" ca="1" si="8"/>
        <v>0</v>
      </c>
      <c r="L56" s="251">
        <f t="shared" ca="1" si="9"/>
        <v>0</v>
      </c>
      <c r="M56" s="251">
        <f t="shared" ca="1" si="10"/>
        <v>0</v>
      </c>
      <c r="AF56" s="219" t="str">
        <f ca="1">'Mätvärden referensår'!G19</f>
        <v>jan</v>
      </c>
      <c r="AG56" s="220">
        <f>'Mätvärden referensår'!AU19+'Mätvärden referensår'!AO105</f>
        <v>0</v>
      </c>
      <c r="AH56" s="220">
        <f>'Mätvärden referensår'!AU44</f>
        <v>0</v>
      </c>
      <c r="AI56" s="220">
        <f>'Mätvärden referensår'!AF82</f>
        <v>0</v>
      </c>
      <c r="AJ56" s="220">
        <f>'Mätvärden referensår'!AJ105</f>
        <v>0</v>
      </c>
      <c r="AL56" s="219" t="str">
        <f ca="1">AF56</f>
        <v>jan</v>
      </c>
      <c r="AM56" s="220">
        <f>AG56*1000/'Indata byggnad och BBR krav'!$C$16</f>
        <v>0</v>
      </c>
      <c r="AN56" s="220">
        <f>AH56*1000/'Indata byggnad och BBR krav'!$C$16</f>
        <v>0</v>
      </c>
      <c r="AO56" s="220">
        <f>AI56*1000/'Indata byggnad och BBR krav'!$C$16</f>
        <v>0</v>
      </c>
      <c r="AP56" s="220">
        <f>AJ56*1000/'Indata byggnad och BBR krav'!$C$16</f>
        <v>0</v>
      </c>
      <c r="AQ56" s="206"/>
    </row>
    <row r="57" spans="2:43" ht="15.75" customHeight="1" x14ac:dyDescent="0.25">
      <c r="B57" s="183" t="s">
        <v>24</v>
      </c>
      <c r="C57" s="263">
        <f>IF($C$7="Befintlig byggnad Alternativ 1",'Mätvärden referensår'!$AE$213,0)</f>
        <v>0</v>
      </c>
      <c r="D57" s="263">
        <f>IF($C$7="Befintlig byggnad Alternativ 1",'Mätvärden referensår'!$BO$214,0)</f>
        <v>0</v>
      </c>
      <c r="F57" s="408"/>
      <c r="G57" s="409"/>
      <c r="I57" s="216" t="s">
        <v>1065</v>
      </c>
      <c r="J57" s="251">
        <f t="shared" ca="1" si="7"/>
        <v>0</v>
      </c>
      <c r="K57" s="251">
        <f t="shared" ca="1" si="8"/>
        <v>0</v>
      </c>
      <c r="L57" s="251">
        <f t="shared" ca="1" si="9"/>
        <v>0</v>
      </c>
      <c r="M57" s="251">
        <f t="shared" ca="1" si="10"/>
        <v>0</v>
      </c>
      <c r="AF57" s="219" t="str">
        <f ca="1">'Mätvärden referensår'!G20</f>
        <v>feb</v>
      </c>
      <c r="AG57" s="220">
        <f>'Mätvärden referensår'!AU20+'Mätvärden referensår'!AO106</f>
        <v>0</v>
      </c>
      <c r="AH57" s="220">
        <f>'Mätvärden referensår'!AU45</f>
        <v>0</v>
      </c>
      <c r="AI57" s="220">
        <f>'Mätvärden referensår'!AF83</f>
        <v>0</v>
      </c>
      <c r="AJ57" s="220">
        <f>'Mätvärden referensår'!AJ106</f>
        <v>0</v>
      </c>
      <c r="AL57" s="219" t="str">
        <f t="shared" ref="AL57:AL67" ca="1" si="11">AF57</f>
        <v>feb</v>
      </c>
      <c r="AM57" s="220">
        <f>AG57*1000/'Indata byggnad och BBR krav'!$C$16</f>
        <v>0</v>
      </c>
      <c r="AN57" s="220">
        <f>AH57*1000/'Indata byggnad och BBR krav'!$C$16</f>
        <v>0</v>
      </c>
      <c r="AO57" s="220">
        <f>AI57*1000/'Indata byggnad och BBR krav'!$C$16</f>
        <v>0</v>
      </c>
      <c r="AP57" s="220">
        <f>AJ57*1000/'Indata byggnad och BBR krav'!$C$16</f>
        <v>0</v>
      </c>
    </row>
    <row r="58" spans="2:43" ht="15.75" customHeight="1" x14ac:dyDescent="0.25">
      <c r="B58" s="183" t="s">
        <v>1078</v>
      </c>
      <c r="C58" s="263">
        <f>IF($C$7="Befintlig byggnad Alternativ 1",'Mätvärden referensår'!$AE$214,0)</f>
        <v>0</v>
      </c>
      <c r="D58" s="263">
        <f>IF($C$7="Befintlig byggnad Alternativ 1",'Mätvärden referensår'!$BO$215,0)</f>
        <v>0</v>
      </c>
      <c r="F58" s="410"/>
      <c r="G58" s="411"/>
      <c r="I58" s="216" t="s">
        <v>1066</v>
      </c>
      <c r="J58" s="251">
        <f t="shared" ca="1" si="7"/>
        <v>0</v>
      </c>
      <c r="K58" s="251">
        <f t="shared" ca="1" si="8"/>
        <v>0</v>
      </c>
      <c r="L58" s="251">
        <f t="shared" ca="1" si="9"/>
        <v>0</v>
      </c>
      <c r="M58" s="251">
        <f t="shared" ca="1" si="10"/>
        <v>0</v>
      </c>
      <c r="AF58" s="219" t="str">
        <f ca="1">'Mätvärden referensår'!G21</f>
        <v>mars</v>
      </c>
      <c r="AG58" s="220">
        <f>'Mätvärden referensår'!AU21+'Mätvärden referensår'!AO107</f>
        <v>0</v>
      </c>
      <c r="AH58" s="220">
        <f>'Mätvärden referensår'!AU46</f>
        <v>0</v>
      </c>
      <c r="AI58" s="220">
        <f>'Mätvärden referensår'!AF84</f>
        <v>0</v>
      </c>
      <c r="AJ58" s="220">
        <f>'Mätvärden referensår'!AJ107</f>
        <v>0</v>
      </c>
      <c r="AL58" s="219" t="str">
        <f t="shared" ca="1" si="11"/>
        <v>mars</v>
      </c>
      <c r="AM58" s="220">
        <f>AG58*1000/'Indata byggnad och BBR krav'!$C$16</f>
        <v>0</v>
      </c>
      <c r="AN58" s="220">
        <f>AH58*1000/'Indata byggnad och BBR krav'!$C$16</f>
        <v>0</v>
      </c>
      <c r="AO58" s="220">
        <f>AI58*1000/'Indata byggnad och BBR krav'!$C$16</f>
        <v>0</v>
      </c>
      <c r="AP58" s="220">
        <f>AJ58*1000/'Indata byggnad och BBR krav'!$C$16</f>
        <v>0</v>
      </c>
    </row>
    <row r="59" spans="2:43" ht="15.75" customHeight="1" x14ac:dyDescent="0.25">
      <c r="F59" s="410"/>
      <c r="G59" s="411"/>
      <c r="I59" s="216" t="s">
        <v>1067</v>
      </c>
      <c r="J59" s="251">
        <f t="shared" ca="1" si="7"/>
        <v>0</v>
      </c>
      <c r="K59" s="251">
        <f t="shared" ca="1" si="8"/>
        <v>0</v>
      </c>
      <c r="L59" s="251">
        <f t="shared" ca="1" si="9"/>
        <v>0</v>
      </c>
      <c r="M59" s="251">
        <f t="shared" ca="1" si="10"/>
        <v>0</v>
      </c>
      <c r="AF59" s="219" t="str">
        <f ca="1">'Mätvärden referensår'!G22</f>
        <v>apr</v>
      </c>
      <c r="AG59" s="220">
        <f>'Mätvärden referensår'!AU22+'Mätvärden referensår'!AO108</f>
        <v>0</v>
      </c>
      <c r="AH59" s="220">
        <f>'Mätvärden referensår'!AU47</f>
        <v>0</v>
      </c>
      <c r="AI59" s="220">
        <f>'Mätvärden referensår'!AF85</f>
        <v>0</v>
      </c>
      <c r="AJ59" s="220">
        <f>'Mätvärden referensår'!AJ108</f>
        <v>0</v>
      </c>
      <c r="AL59" s="219" t="str">
        <f t="shared" ca="1" si="11"/>
        <v>apr</v>
      </c>
      <c r="AM59" s="220">
        <f>AG59*1000/'Indata byggnad och BBR krav'!$C$16</f>
        <v>0</v>
      </c>
      <c r="AN59" s="220">
        <f>AH59*1000/'Indata byggnad och BBR krav'!$C$16</f>
        <v>0</v>
      </c>
      <c r="AO59" s="220">
        <f>AI59*1000/'Indata byggnad och BBR krav'!$C$16</f>
        <v>0</v>
      </c>
      <c r="AP59" s="220">
        <f>AJ59*1000/'Indata byggnad och BBR krav'!$C$16</f>
        <v>0</v>
      </c>
    </row>
    <row r="60" spans="2:43" ht="15.75" customHeight="1" x14ac:dyDescent="0.35">
      <c r="B60" s="376" t="s">
        <v>1456</v>
      </c>
      <c r="C60" s="378"/>
      <c r="D60" s="377"/>
      <c r="F60" s="410"/>
      <c r="G60" s="411"/>
      <c r="I60" s="216" t="s">
        <v>1068</v>
      </c>
      <c r="J60" s="251">
        <f t="shared" ca="1" si="7"/>
        <v>0</v>
      </c>
      <c r="K60" s="251">
        <f t="shared" ca="1" si="8"/>
        <v>0</v>
      </c>
      <c r="L60" s="251">
        <f t="shared" ca="1" si="9"/>
        <v>0</v>
      </c>
      <c r="M60" s="251">
        <f t="shared" ca="1" si="10"/>
        <v>0</v>
      </c>
      <c r="AF60" s="219" t="str">
        <f ca="1">'Mätvärden referensår'!G23</f>
        <v>maj</v>
      </c>
      <c r="AG60" s="220">
        <f>'Mätvärden referensår'!AU23+'Mätvärden referensår'!AO109</f>
        <v>0</v>
      </c>
      <c r="AH60" s="220">
        <f>'Mätvärden referensår'!AU48</f>
        <v>0</v>
      </c>
      <c r="AI60" s="220">
        <f>'Mätvärden referensår'!AF86</f>
        <v>0</v>
      </c>
      <c r="AJ60" s="220">
        <f>'Mätvärden referensår'!AJ109</f>
        <v>0</v>
      </c>
      <c r="AL60" s="219" t="str">
        <f t="shared" ca="1" si="11"/>
        <v>maj</v>
      </c>
      <c r="AM60" s="220">
        <f>AG60*1000/'Indata byggnad och BBR krav'!$C$16</f>
        <v>0</v>
      </c>
      <c r="AN60" s="220">
        <f>AH60*1000/'Indata byggnad och BBR krav'!$C$16</f>
        <v>0</v>
      </c>
      <c r="AO60" s="220">
        <f>AI60*1000/'Indata byggnad och BBR krav'!$C$16</f>
        <v>0</v>
      </c>
      <c r="AP60" s="220">
        <f>AJ60*1000/'Indata byggnad och BBR krav'!$C$16</f>
        <v>0</v>
      </c>
    </row>
    <row r="61" spans="2:43" x14ac:dyDescent="0.25">
      <c r="B61" s="210"/>
      <c r="C61" s="211" t="s">
        <v>1144</v>
      </c>
      <c r="D61" s="212" t="s">
        <v>1145</v>
      </c>
      <c r="F61" s="410"/>
      <c r="G61" s="411"/>
      <c r="I61" s="216" t="s">
        <v>1069</v>
      </c>
      <c r="J61" s="251">
        <f t="shared" ca="1" si="7"/>
        <v>0</v>
      </c>
      <c r="K61" s="251">
        <f t="shared" ca="1" si="8"/>
        <v>0</v>
      </c>
      <c r="L61" s="251">
        <f t="shared" ca="1" si="9"/>
        <v>0</v>
      </c>
      <c r="M61" s="251">
        <f t="shared" ca="1" si="10"/>
        <v>0</v>
      </c>
      <c r="AF61" s="219" t="str">
        <f ca="1">'Mätvärden referensår'!G24</f>
        <v xml:space="preserve">jun </v>
      </c>
      <c r="AG61" s="220">
        <f>'Mätvärden referensår'!AU24+'Mätvärden referensår'!AO110</f>
        <v>0</v>
      </c>
      <c r="AH61" s="220">
        <f>'Mätvärden referensår'!AU49</f>
        <v>0</v>
      </c>
      <c r="AI61" s="220">
        <f>'Mätvärden referensår'!AF87</f>
        <v>0</v>
      </c>
      <c r="AJ61" s="220">
        <f>'Mätvärden referensår'!AJ110</f>
        <v>0</v>
      </c>
      <c r="AL61" s="219" t="str">
        <f t="shared" ca="1" si="11"/>
        <v xml:space="preserve">jun </v>
      </c>
      <c r="AM61" s="220">
        <f>AG61*1000/'Indata byggnad och BBR krav'!$C$16</f>
        <v>0</v>
      </c>
      <c r="AN61" s="220">
        <f>AH61*1000/'Indata byggnad och BBR krav'!$C$16</f>
        <v>0</v>
      </c>
      <c r="AO61" s="220">
        <f>AI61*1000/'Indata byggnad och BBR krav'!$C$16</f>
        <v>0</v>
      </c>
      <c r="AP61" s="220">
        <f>AJ61*1000/'Indata byggnad och BBR krav'!$C$16</f>
        <v>0</v>
      </c>
    </row>
    <row r="62" spans="2:43" ht="18.75" x14ac:dyDescent="0.25">
      <c r="B62" s="213"/>
      <c r="C62" s="9" t="s">
        <v>1146</v>
      </c>
      <c r="D62" s="214" t="s">
        <v>1146</v>
      </c>
      <c r="F62" s="410"/>
      <c r="G62" s="411"/>
      <c r="I62" s="216" t="s">
        <v>1070</v>
      </c>
      <c r="J62" s="251">
        <f t="shared" ca="1" si="7"/>
        <v>0</v>
      </c>
      <c r="K62" s="251">
        <f t="shared" ca="1" si="8"/>
        <v>0</v>
      </c>
      <c r="L62" s="251">
        <f t="shared" ca="1" si="9"/>
        <v>0</v>
      </c>
      <c r="M62" s="251">
        <f t="shared" ca="1" si="10"/>
        <v>0</v>
      </c>
      <c r="AF62" s="219" t="str">
        <f ca="1">'Mätvärden referensår'!G25</f>
        <v>jul</v>
      </c>
      <c r="AG62" s="220">
        <f>'Mätvärden referensår'!AU25+'Mätvärden referensår'!AO111</f>
        <v>0</v>
      </c>
      <c r="AH62" s="220">
        <f>'Mätvärden referensår'!AU50</f>
        <v>0</v>
      </c>
      <c r="AI62" s="220">
        <f>'Mätvärden referensår'!AF88</f>
        <v>0</v>
      </c>
      <c r="AJ62" s="220">
        <f>'Mätvärden referensår'!AJ111</f>
        <v>0</v>
      </c>
      <c r="AL62" s="219" t="str">
        <f t="shared" ca="1" si="11"/>
        <v>jul</v>
      </c>
      <c r="AM62" s="220">
        <f>AG62*1000/'Indata byggnad och BBR krav'!$C$16</f>
        <v>0</v>
      </c>
      <c r="AN62" s="220">
        <f>AH62*1000/'Indata byggnad och BBR krav'!$C$16</f>
        <v>0</v>
      </c>
      <c r="AO62" s="220">
        <f>AI62*1000/'Indata byggnad och BBR krav'!$C$16</f>
        <v>0</v>
      </c>
      <c r="AP62" s="220">
        <f>AJ62*1000/'Indata byggnad och BBR krav'!$C$16</f>
        <v>0</v>
      </c>
    </row>
    <row r="63" spans="2:43" x14ac:dyDescent="0.25">
      <c r="B63" s="183" t="str">
        <f>IF('Indata byggnad och BBR krav'!C34&gt;0,"Hushållsenergi","Hushållsenergi (Finns ej)")</f>
        <v>Hushållsenergi</v>
      </c>
      <c r="C63" s="251" t="str">
        <f>IF(AND('Indata byggnad och BBR krav'!$C$17&gt;0,'Mätvärden referensår'!$BD$166&gt;0),'Mätvärden referensår'!$BD$166,"-")</f>
        <v>-</v>
      </c>
      <c r="D63" s="249" t="str">
        <f>IF(Resultat!C63="-","-",'Mätvärden referensår'!$BD$167)</f>
        <v>-</v>
      </c>
      <c r="F63" s="410"/>
      <c r="G63" s="411"/>
      <c r="I63" s="216" t="s">
        <v>1071</v>
      </c>
      <c r="J63" s="251">
        <f t="shared" ca="1" si="7"/>
        <v>0</v>
      </c>
      <c r="K63" s="251">
        <f t="shared" ca="1" si="8"/>
        <v>0</v>
      </c>
      <c r="L63" s="251">
        <f t="shared" ca="1" si="9"/>
        <v>0</v>
      </c>
      <c r="M63" s="251">
        <f t="shared" ca="1" si="10"/>
        <v>0</v>
      </c>
      <c r="AF63" s="219" t="str">
        <f ca="1">'Mätvärden referensår'!G26</f>
        <v>aug</v>
      </c>
      <c r="AG63" s="220">
        <f>'Mätvärden referensår'!AU26+'Mätvärden referensår'!AO112</f>
        <v>0</v>
      </c>
      <c r="AH63" s="220">
        <f>'Mätvärden referensår'!AU51</f>
        <v>0</v>
      </c>
      <c r="AI63" s="220">
        <f>'Mätvärden referensår'!AF89</f>
        <v>0</v>
      </c>
      <c r="AJ63" s="220">
        <f>'Mätvärden referensår'!AJ112</f>
        <v>0</v>
      </c>
      <c r="AL63" s="219" t="str">
        <f t="shared" ca="1" si="11"/>
        <v>aug</v>
      </c>
      <c r="AM63" s="220">
        <f>AG63*1000/'Indata byggnad och BBR krav'!$C$16</f>
        <v>0</v>
      </c>
      <c r="AN63" s="220">
        <f>AH63*1000/'Indata byggnad och BBR krav'!$C$16</f>
        <v>0</v>
      </c>
      <c r="AO63" s="220">
        <f>AI63*1000/'Indata byggnad och BBR krav'!$C$16</f>
        <v>0</v>
      </c>
      <c r="AP63" s="220">
        <f>AJ63*1000/'Indata byggnad och BBR krav'!$C$16</f>
        <v>0</v>
      </c>
    </row>
    <row r="64" spans="2:43" x14ac:dyDescent="0.25">
      <c r="B64" s="156" t="str">
        <f>IF('Indata byggnad och BBR krav'!C35&gt;0,"Verksamhetsenergi","Verksamhetsenergi (finns ej)")</f>
        <v>Verksamhetsenergi</v>
      </c>
      <c r="C64" s="249" t="str">
        <f>IF(AND('Indata byggnad och BBR krav'!$C$18&gt;0,'Mätvärden referensår'!$AB$165&gt;0),'Mätvärden referensår'!$AB$165,"-")</f>
        <v>-</v>
      </c>
      <c r="D64" s="249" t="s">
        <v>1374</v>
      </c>
      <c r="F64" s="412"/>
      <c r="G64" s="413"/>
      <c r="I64" s="216" t="s">
        <v>1072</v>
      </c>
      <c r="J64" s="251">
        <f t="shared" ca="1" si="7"/>
        <v>0</v>
      </c>
      <c r="K64" s="251">
        <f t="shared" ca="1" si="8"/>
        <v>0</v>
      </c>
      <c r="L64" s="251">
        <f t="shared" ca="1" si="9"/>
        <v>0</v>
      </c>
      <c r="M64" s="251">
        <f t="shared" ca="1" si="10"/>
        <v>0</v>
      </c>
      <c r="AF64" s="219" t="str">
        <f ca="1">'Mätvärden referensår'!G27</f>
        <v>sept</v>
      </c>
      <c r="AG64" s="220">
        <f>'Mätvärden referensår'!AU27+'Mätvärden referensår'!AO113</f>
        <v>0</v>
      </c>
      <c r="AH64" s="220">
        <f>'Mätvärden referensår'!AU52</f>
        <v>0</v>
      </c>
      <c r="AI64" s="220">
        <f>'Mätvärden referensår'!AF90</f>
        <v>0</v>
      </c>
      <c r="AJ64" s="220">
        <f>'Mätvärden referensår'!AJ113</f>
        <v>0</v>
      </c>
      <c r="AL64" s="219" t="str">
        <f t="shared" ca="1" si="11"/>
        <v>sept</v>
      </c>
      <c r="AM64" s="220">
        <f>AG64*1000/'Indata byggnad och BBR krav'!$C$16</f>
        <v>0</v>
      </c>
      <c r="AN64" s="220">
        <f>AH64*1000/'Indata byggnad och BBR krav'!$C$16</f>
        <v>0</v>
      </c>
      <c r="AO64" s="220">
        <f>AI64*1000/'Indata byggnad och BBR krav'!$C$16</f>
        <v>0</v>
      </c>
      <c r="AP64" s="220">
        <f>AJ64*1000/'Indata byggnad och BBR krav'!$C$16</f>
        <v>0</v>
      </c>
    </row>
    <row r="65" spans="4:43" x14ac:dyDescent="0.25">
      <c r="D65" s="17"/>
      <c r="AF65" s="219" t="str">
        <f ca="1">'Mätvärden referensår'!G28</f>
        <v>okt</v>
      </c>
      <c r="AG65" s="220">
        <f>'Mätvärden referensår'!AU28+'Mätvärden referensår'!AO114</f>
        <v>0</v>
      </c>
      <c r="AH65" s="220">
        <f>'Mätvärden referensår'!AU53</f>
        <v>0</v>
      </c>
      <c r="AI65" s="220">
        <f>'Mätvärden referensår'!AF91</f>
        <v>0</v>
      </c>
      <c r="AJ65" s="220">
        <f>'Mätvärden referensår'!AJ114</f>
        <v>0</v>
      </c>
      <c r="AL65" s="219" t="str">
        <f t="shared" ca="1" si="11"/>
        <v>okt</v>
      </c>
      <c r="AM65" s="220">
        <f>AG65*1000/'Indata byggnad och BBR krav'!$C$16</f>
        <v>0</v>
      </c>
      <c r="AN65" s="220">
        <f>AH65*1000/'Indata byggnad och BBR krav'!$C$16</f>
        <v>0</v>
      </c>
      <c r="AO65" s="220">
        <f>AI65*1000/'Indata byggnad och BBR krav'!$C$16</f>
        <v>0</v>
      </c>
      <c r="AP65" s="220">
        <f>AJ65*1000/'Indata byggnad och BBR krav'!$C$16</f>
        <v>0</v>
      </c>
    </row>
    <row r="66" spans="4:43" x14ac:dyDescent="0.25">
      <c r="AF66" s="219" t="str">
        <f ca="1">'Mätvärden referensår'!G29</f>
        <v>nov</v>
      </c>
      <c r="AG66" s="220">
        <f>'Mätvärden referensår'!AU29+'Mätvärden referensår'!AO115</f>
        <v>0</v>
      </c>
      <c r="AH66" s="220">
        <f>'Mätvärden referensår'!AU54</f>
        <v>0</v>
      </c>
      <c r="AI66" s="220">
        <f>'Mätvärden referensår'!AF92</f>
        <v>0</v>
      </c>
      <c r="AJ66" s="220">
        <f>'Mätvärden referensår'!AJ115</f>
        <v>0</v>
      </c>
      <c r="AL66" s="219" t="str">
        <f t="shared" ca="1" si="11"/>
        <v>nov</v>
      </c>
      <c r="AM66" s="220">
        <f>AG66*1000/'Indata byggnad och BBR krav'!$C$16</f>
        <v>0</v>
      </c>
      <c r="AN66" s="220">
        <f>AH66*1000/'Indata byggnad och BBR krav'!$C$16</f>
        <v>0</v>
      </c>
      <c r="AO66" s="220">
        <f>AI66*1000/'Indata byggnad och BBR krav'!$C$16</f>
        <v>0</v>
      </c>
      <c r="AP66" s="220">
        <f>AJ66*1000/'Indata byggnad och BBR krav'!$C$16</f>
        <v>0</v>
      </c>
    </row>
    <row r="67" spans="4:43" x14ac:dyDescent="0.25">
      <c r="AF67" s="219" t="str">
        <f ca="1">'Mätvärden referensår'!G30</f>
        <v>dec</v>
      </c>
      <c r="AG67" s="220">
        <f>'Mätvärden referensår'!AU30+'Mätvärden referensår'!AO116</f>
        <v>0</v>
      </c>
      <c r="AH67" s="220">
        <f>'Mätvärden referensår'!AU55</f>
        <v>0</v>
      </c>
      <c r="AI67" s="220">
        <f>'Mätvärden referensår'!AF93</f>
        <v>0</v>
      </c>
      <c r="AJ67" s="220">
        <f>'Mätvärden referensår'!AJ116</f>
        <v>0</v>
      </c>
      <c r="AL67" s="219" t="str">
        <f t="shared" ca="1" si="11"/>
        <v>dec</v>
      </c>
      <c r="AM67" s="220">
        <f>AG67*1000/'Indata byggnad och BBR krav'!$C$16</f>
        <v>0</v>
      </c>
      <c r="AN67" s="220">
        <f>AH67*1000/'Indata byggnad och BBR krav'!$C$16</f>
        <v>0</v>
      </c>
      <c r="AO67" s="220">
        <f>AI67*1000/'Indata byggnad och BBR krav'!$C$16</f>
        <v>0</v>
      </c>
      <c r="AP67" s="220">
        <f>AJ67*1000/'Indata byggnad och BBR krav'!$C$16</f>
        <v>0</v>
      </c>
    </row>
    <row r="68" spans="4:43" x14ac:dyDescent="0.25">
      <c r="AF68" s="201" t="s">
        <v>1094</v>
      </c>
      <c r="AG68" s="206">
        <f>SUM(AG56:AG67)</f>
        <v>0</v>
      </c>
      <c r="AH68" s="206">
        <f t="shared" ref="AH68:AJ68" si="12">SUM(AH56:AH67)</f>
        <v>0</v>
      </c>
      <c r="AI68" s="206">
        <f t="shared" si="12"/>
        <v>0</v>
      </c>
      <c r="AJ68" s="206">
        <f t="shared" si="12"/>
        <v>0</v>
      </c>
      <c r="AK68" s="221">
        <f>AG68+AH68+AI68+AJ68</f>
        <v>0</v>
      </c>
      <c r="AL68" s="201" t="s">
        <v>1094</v>
      </c>
      <c r="AM68" s="206">
        <f>SUM(AM56:AM67)</f>
        <v>0</v>
      </c>
      <c r="AN68" s="206">
        <f t="shared" ref="AN68:AP68" si="13">SUM(AN56:AN67)</f>
        <v>0</v>
      </c>
      <c r="AO68" s="206">
        <f t="shared" si="13"/>
        <v>0</v>
      </c>
      <c r="AP68" s="206">
        <f t="shared" si="13"/>
        <v>0</v>
      </c>
      <c r="AQ68" s="202">
        <f>AM68+AN68+AO68+AP68</f>
        <v>0</v>
      </c>
    </row>
  </sheetData>
  <sheetProtection algorithmName="SHA-512" hashValue="mxCVOB1KSE2VNlI9s6g0wuqo+L+XhLjsQQxmXp9M8CQ9G+of6ub3t8vsITc+cnCiQxmvvEUDMkee14V0vk4ttQ==" saltValue="Uz9XvrEeWqy/foc/99IZVQ==" spinCount="100000" sheet="1" objects="1" scenarios="1" selectLockedCells="1"/>
  <mergeCells count="14">
    <mergeCell ref="B60:D60"/>
    <mergeCell ref="F40:G47"/>
    <mergeCell ref="F39:G39"/>
    <mergeCell ref="F50:G50"/>
    <mergeCell ref="F56:G56"/>
    <mergeCell ref="F57:G64"/>
    <mergeCell ref="I34:M34"/>
    <mergeCell ref="I51:M51"/>
    <mergeCell ref="F33:G33"/>
    <mergeCell ref="B43:D43"/>
    <mergeCell ref="B6:C6"/>
    <mergeCell ref="B17:C17"/>
    <mergeCell ref="B33:D33"/>
    <mergeCell ref="B24:C24"/>
  </mergeCells>
  <conditionalFormatting sqref="B29:B31 D29:D31">
    <cfRule type="expression" dxfId="11" priority="23">
      <formula>$C$7="Ny byggnad"</formula>
    </cfRule>
    <cfRule type="expression" dxfId="10" priority="24">
      <formula>$C$7="Befintlig byggnad Alternativ 2"</formula>
    </cfRule>
  </conditionalFormatting>
  <conditionalFormatting sqref="AJ29:AJ31">
    <cfRule type="expression" dxfId="9" priority="17">
      <formula>$C$7="Ny byggnad"</formula>
    </cfRule>
    <cfRule type="expression" dxfId="8" priority="18">
      <formula>$C$7="Befintlig byggnad Alternativ 2"</formula>
    </cfRule>
  </conditionalFormatting>
  <conditionalFormatting sqref="C29:C31">
    <cfRule type="expression" dxfId="7" priority="15">
      <formula>$C$7="Ny byggnad"</formula>
    </cfRule>
    <cfRule type="expression" dxfId="6" priority="16">
      <formula>$C$7="Befintlig byggnad Alternativ 2"</formula>
    </cfRule>
  </conditionalFormatting>
  <conditionalFormatting sqref="B49:E64">
    <cfRule type="expression" dxfId="5" priority="9">
      <formula>$C$7="Befintlig byggnad Alternativ 2"</formula>
    </cfRule>
    <cfRule type="expression" dxfId="4" priority="10">
      <formula>$C$7="Ny byggnad"</formula>
    </cfRule>
  </conditionalFormatting>
  <conditionalFormatting sqref="I50:M64">
    <cfRule type="expression" dxfId="3" priority="3">
      <formula>$C$7="Befintlig byggnad Alternativ 2"</formula>
    </cfRule>
    <cfRule type="expression" dxfId="2" priority="4">
      <formula>$C$7="Ny byggnad"</formula>
    </cfRule>
  </conditionalFormatting>
  <conditionalFormatting sqref="F49:G66">
    <cfRule type="expression" dxfId="1" priority="25">
      <formula>$C$7="Befintlig byggnad Alternativ 2"</formula>
    </cfRule>
    <cfRule type="expression" dxfId="0" priority="26">
      <formula>$C$7="Ny byggnad"</formula>
    </cfRule>
  </conditionalFormatting>
  <pageMargins left="0.70866141732283472" right="0.70866141732283472" top="0.74803149606299213" bottom="0.74803149606299213" header="0.31496062992125984" footer="0.31496062992125984"/>
  <pageSetup paperSize="9" orientation="portrait" cellComments="asDisplayed"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55D0B-0F8B-4732-ABF8-F508CCCF0735}">
  <sheetPr>
    <tabColor theme="9"/>
  </sheetPr>
  <dimension ref="B1:BA41"/>
  <sheetViews>
    <sheetView showGridLines="0" zoomScale="70" zoomScaleNormal="70" zoomScaleSheetLayoutView="100" workbookViewId="0">
      <selection activeCell="D41" sqref="D41:E41"/>
    </sheetView>
  </sheetViews>
  <sheetFormatPr defaultColWidth="9.140625" defaultRowHeight="15" x14ac:dyDescent="0.25"/>
  <cols>
    <col min="1" max="1" width="4" customWidth="1"/>
    <col min="2" max="2" width="18.7109375" customWidth="1"/>
    <col min="3" max="3" width="31.42578125" customWidth="1"/>
    <col min="4" max="5" width="16.85546875" customWidth="1"/>
    <col min="6" max="6" width="18.5703125" customWidth="1"/>
    <col min="7" max="23" width="16.85546875" customWidth="1"/>
    <col min="24" max="26" width="14.85546875" customWidth="1"/>
    <col min="27" max="27" width="22.28515625" style="135" hidden="1" customWidth="1"/>
    <col min="28" max="34" width="9.140625" style="135" hidden="1" customWidth="1"/>
    <col min="35" max="35" width="20.85546875" style="135" hidden="1" customWidth="1"/>
    <col min="36" max="53" width="9.140625" style="135" hidden="1" customWidth="1"/>
    <col min="54" max="54" width="9.140625" customWidth="1"/>
  </cols>
  <sheetData>
    <row r="1" spans="2:53" ht="28.5" customHeight="1" x14ac:dyDescent="0.3">
      <c r="B1" s="15"/>
      <c r="AA1" s="135" t="s">
        <v>1446</v>
      </c>
      <c r="AB1" s="135" t="s">
        <v>1446</v>
      </c>
      <c r="AC1" s="135" t="s">
        <v>1446</v>
      </c>
      <c r="AD1" s="135" t="s">
        <v>1446</v>
      </c>
      <c r="AE1" s="135" t="s">
        <v>1446</v>
      </c>
      <c r="AF1" s="135" t="s">
        <v>1446</v>
      </c>
      <c r="AG1" s="135" t="s">
        <v>1446</v>
      </c>
      <c r="AH1" s="135" t="s">
        <v>1446</v>
      </c>
      <c r="AI1" s="135" t="s">
        <v>1446</v>
      </c>
      <c r="AJ1" s="135" t="s">
        <v>1446</v>
      </c>
      <c r="AK1" s="135" t="s">
        <v>1446</v>
      </c>
      <c r="AL1" s="135" t="s">
        <v>1446</v>
      </c>
      <c r="AM1" s="135" t="s">
        <v>1446</v>
      </c>
      <c r="AN1" s="135" t="s">
        <v>1446</v>
      </c>
      <c r="AO1" s="135" t="s">
        <v>1446</v>
      </c>
      <c r="AP1" s="135" t="s">
        <v>1446</v>
      </c>
      <c r="AQ1" s="135" t="s">
        <v>1446</v>
      </c>
      <c r="AR1" s="135" t="s">
        <v>1446</v>
      </c>
      <c r="AS1" s="135" t="s">
        <v>1446</v>
      </c>
      <c r="AT1" s="135" t="s">
        <v>1446</v>
      </c>
      <c r="AU1" s="135" t="s">
        <v>1446</v>
      </c>
      <c r="AV1" s="135" t="s">
        <v>1446</v>
      </c>
      <c r="AW1" s="135" t="s">
        <v>1446</v>
      </c>
      <c r="AX1" s="135" t="s">
        <v>1446</v>
      </c>
      <c r="AY1" s="135" t="s">
        <v>1446</v>
      </c>
      <c r="AZ1" s="135" t="s">
        <v>1446</v>
      </c>
      <c r="BA1" s="135" t="s">
        <v>1446</v>
      </c>
    </row>
    <row r="2" spans="2:53" ht="30" x14ac:dyDescent="0.25">
      <c r="D2" s="117" t="s">
        <v>8</v>
      </c>
    </row>
    <row r="3" spans="2:53" ht="102" customHeight="1" x14ac:dyDescent="0.25">
      <c r="AA3" s="136" t="s">
        <v>1338</v>
      </c>
      <c r="AB3" s="137"/>
      <c r="AD3" s="136" t="s">
        <v>9</v>
      </c>
      <c r="AF3" s="135" t="s">
        <v>1342</v>
      </c>
    </row>
    <row r="4" spans="2:53" ht="18.75" x14ac:dyDescent="0.3">
      <c r="B4" s="15" t="s">
        <v>1339</v>
      </c>
      <c r="AA4" s="136" t="s">
        <v>1334</v>
      </c>
      <c r="AB4" s="137">
        <v>0</v>
      </c>
      <c r="AD4" s="136">
        <v>2017</v>
      </c>
      <c r="AF4" s="136" t="s">
        <v>1205</v>
      </c>
      <c r="AK4" s="138"/>
    </row>
    <row r="5" spans="2:53" x14ac:dyDescent="0.25">
      <c r="AA5" s="136" t="s">
        <v>1245</v>
      </c>
      <c r="AB5" s="137">
        <v>0</v>
      </c>
      <c r="AD5" s="136">
        <v>2018</v>
      </c>
      <c r="AF5" s="136" t="s">
        <v>1206</v>
      </c>
      <c r="AK5" s="138"/>
    </row>
    <row r="6" spans="2:53" ht="15.75" x14ac:dyDescent="0.25">
      <c r="B6" s="345" t="s">
        <v>1133</v>
      </c>
      <c r="C6" s="345"/>
      <c r="D6" s="345"/>
      <c r="E6" s="345"/>
      <c r="F6" s="345"/>
      <c r="AA6" s="136" t="s">
        <v>1327</v>
      </c>
      <c r="AB6" s="137">
        <v>1</v>
      </c>
      <c r="AD6" s="136">
        <v>2019</v>
      </c>
      <c r="AK6" s="138"/>
    </row>
    <row r="7" spans="2:53" x14ac:dyDescent="0.25">
      <c r="B7" s="389" t="s">
        <v>1211</v>
      </c>
      <c r="C7" s="389"/>
      <c r="D7" s="385" t="str">
        <f>IF('Indata byggnad och BBR krav'!C7="","",'Indata byggnad och BBR krav'!C7)</f>
        <v>Befintlig byggnad Alternativ 1</v>
      </c>
      <c r="E7" s="385"/>
      <c r="F7" s="385"/>
      <c r="AA7" s="136" t="s">
        <v>1328</v>
      </c>
      <c r="AB7" s="137">
        <v>2</v>
      </c>
      <c r="AD7" s="136">
        <v>2020</v>
      </c>
      <c r="AK7" s="138"/>
    </row>
    <row r="8" spans="2:53" x14ac:dyDescent="0.25">
      <c r="B8" s="389" t="s">
        <v>10</v>
      </c>
      <c r="C8" s="389"/>
      <c r="D8" s="385" t="str">
        <f>IF('Indata byggnad och BBR krav'!C13="","",'Indata byggnad och BBR krav'!C13)</f>
        <v/>
      </c>
      <c r="E8" s="385"/>
      <c r="F8" s="385"/>
      <c r="AA8" s="136" t="s">
        <v>1329</v>
      </c>
      <c r="AB8" s="137">
        <v>3</v>
      </c>
      <c r="AD8" s="136">
        <v>2021</v>
      </c>
      <c r="AK8" s="138"/>
    </row>
    <row r="9" spans="2:53" x14ac:dyDescent="0.25">
      <c r="B9" s="389" t="s">
        <v>1310</v>
      </c>
      <c r="C9" s="389"/>
      <c r="D9" s="386" t="str">
        <f>IF('Indata byggnad och BBR krav'!C14="","",'Indata byggnad och BBR krav'!C14)</f>
        <v/>
      </c>
      <c r="E9" s="387"/>
      <c r="F9" s="388"/>
      <c r="AA9" s="136" t="s">
        <v>1330</v>
      </c>
      <c r="AB9" s="137">
        <v>4</v>
      </c>
      <c r="AD9" s="136">
        <v>2022</v>
      </c>
      <c r="AK9" s="138"/>
    </row>
    <row r="10" spans="2:53" ht="18" x14ac:dyDescent="0.25">
      <c r="B10" s="390" t="s">
        <v>1210</v>
      </c>
      <c r="C10" s="390"/>
      <c r="D10" s="385">
        <f>IF('Indata byggnad och BBR krav'!C16="","",'Indata byggnad och BBR krav'!C16)</f>
        <v>1000</v>
      </c>
      <c r="E10" s="385"/>
      <c r="F10" s="385"/>
      <c r="AA10" s="136" t="s">
        <v>1331</v>
      </c>
      <c r="AB10" s="137">
        <v>5</v>
      </c>
      <c r="AD10" s="136">
        <v>2023</v>
      </c>
      <c r="AK10" s="138"/>
    </row>
    <row r="11" spans="2:53" x14ac:dyDescent="0.25">
      <c r="B11" s="389" t="s">
        <v>11</v>
      </c>
      <c r="C11" s="389"/>
      <c r="D11" s="385" t="str">
        <f>IF('Indata byggnad och BBR krav'!C15="","",'Indata byggnad och BBR krav'!C15)</f>
        <v>DalsEds</v>
      </c>
      <c r="E11" s="385"/>
      <c r="F11" s="385"/>
      <c r="AA11" s="136" t="s">
        <v>1332</v>
      </c>
      <c r="AB11" s="137">
        <v>6</v>
      </c>
      <c r="AD11" s="136">
        <v>2024</v>
      </c>
      <c r="AK11" s="138"/>
    </row>
    <row r="12" spans="2:53" ht="15.75" customHeight="1" x14ac:dyDescent="0.25">
      <c r="D12" s="3"/>
      <c r="AA12" s="136" t="s">
        <v>1333</v>
      </c>
      <c r="AB12" s="137">
        <v>7</v>
      </c>
      <c r="AD12" s="136">
        <v>2025</v>
      </c>
      <c r="AK12" s="138"/>
    </row>
    <row r="13" spans="2:53" ht="15.75" x14ac:dyDescent="0.25">
      <c r="B13" s="270" t="s">
        <v>1318</v>
      </c>
      <c r="C13" s="270"/>
      <c r="D13" s="268"/>
      <c r="E13" s="268"/>
      <c r="F13" s="268"/>
      <c r="G13" s="268"/>
      <c r="H13" s="268"/>
      <c r="I13" s="268"/>
      <c r="J13" s="268"/>
      <c r="K13" s="268"/>
      <c r="L13" s="276"/>
      <c r="AD13" s="136">
        <v>2026</v>
      </c>
    </row>
    <row r="14" spans="2:53" x14ac:dyDescent="0.25">
      <c r="B14" s="382" t="s">
        <v>1343</v>
      </c>
      <c r="C14" s="382"/>
      <c r="D14" s="242" t="s">
        <v>1334</v>
      </c>
      <c r="E14" s="242" t="s">
        <v>1245</v>
      </c>
      <c r="F14" s="242"/>
      <c r="G14" s="242"/>
      <c r="H14" s="242"/>
      <c r="I14" s="242"/>
      <c r="J14" s="242"/>
      <c r="K14" s="242"/>
      <c r="L14" s="242"/>
      <c r="AD14" s="136">
        <v>2027</v>
      </c>
    </row>
    <row r="15" spans="2:53" x14ac:dyDescent="0.25">
      <c r="B15" s="382" t="s">
        <v>1336</v>
      </c>
      <c r="C15" s="382"/>
      <c r="D15" s="242">
        <v>2019</v>
      </c>
      <c r="E15" s="242">
        <v>2022</v>
      </c>
      <c r="F15" s="242"/>
      <c r="G15" s="242"/>
      <c r="H15" s="242"/>
      <c r="I15" s="242"/>
      <c r="J15" s="242"/>
      <c r="K15" s="242"/>
      <c r="L15" s="242"/>
      <c r="AD15" s="136">
        <v>2028</v>
      </c>
    </row>
    <row r="16" spans="2:53" ht="15" customHeight="1" x14ac:dyDescent="0.25">
      <c r="B16" s="382" t="s">
        <v>1341</v>
      </c>
      <c r="C16" s="382"/>
      <c r="D16" s="242"/>
      <c r="E16" s="242"/>
      <c r="F16" s="242"/>
      <c r="G16" s="242"/>
      <c r="H16" s="242"/>
      <c r="I16" s="242"/>
      <c r="J16" s="242"/>
      <c r="K16" s="242"/>
      <c r="L16" s="242"/>
      <c r="AD16" s="136">
        <v>2029</v>
      </c>
    </row>
    <row r="17" spans="2:30" x14ac:dyDescent="0.25">
      <c r="B17" s="382" t="str">
        <f>IF($D$7="Befintlig byggnad Alternativ 1","Minskning av primärenergital (EPpet), %","Energiklass")</f>
        <v>Minskning av primärenergital (EPpet), %</v>
      </c>
      <c r="C17" s="382"/>
      <c r="D17" s="277"/>
      <c r="E17" s="242"/>
      <c r="F17" s="242"/>
      <c r="G17" s="242"/>
      <c r="H17" s="242"/>
      <c r="I17" s="242"/>
      <c r="J17" s="242"/>
      <c r="K17" s="242"/>
      <c r="L17" s="242"/>
      <c r="AD17" s="136">
        <v>2030</v>
      </c>
    </row>
    <row r="18" spans="2:30" x14ac:dyDescent="0.25">
      <c r="B18" s="383" t="str">
        <f>Resultat!B22</f>
        <v>GreenBuilding Kriterium 6 uppfylls (JA/NEJ)</v>
      </c>
      <c r="C18" s="384"/>
      <c r="D18" s="242"/>
      <c r="E18" s="242"/>
      <c r="F18" s="242"/>
      <c r="G18" s="242"/>
      <c r="H18" s="242"/>
      <c r="I18" s="242"/>
      <c r="J18" s="242"/>
      <c r="K18" s="242"/>
      <c r="L18" s="242"/>
      <c r="AD18" s="136">
        <v>2031</v>
      </c>
    </row>
    <row r="19" spans="2:30" x14ac:dyDescent="0.25">
      <c r="B19" s="382" t="s">
        <v>1335</v>
      </c>
      <c r="C19" s="382"/>
      <c r="D19" s="249"/>
      <c r="E19" s="272" t="str">
        <f>IF(E21&gt;5%,E21,"")</f>
        <v/>
      </c>
      <c r="F19" s="272" t="str">
        <f t="shared" ref="F19:L19" si="0">IF(F21&gt;5%,F21,"")</f>
        <v/>
      </c>
      <c r="G19" s="272" t="str">
        <f t="shared" si="0"/>
        <v/>
      </c>
      <c r="H19" s="272" t="str">
        <f t="shared" si="0"/>
        <v/>
      </c>
      <c r="I19" s="272" t="str">
        <f t="shared" si="0"/>
        <v/>
      </c>
      <c r="J19" s="272" t="str">
        <f t="shared" si="0"/>
        <v/>
      </c>
      <c r="K19" s="272" t="str">
        <f t="shared" si="0"/>
        <v/>
      </c>
      <c r="L19" s="272" t="str">
        <f t="shared" si="0"/>
        <v/>
      </c>
      <c r="M19" s="17"/>
      <c r="AD19" s="136">
        <v>2032</v>
      </c>
    </row>
    <row r="20" spans="2:30" customFormat="1" x14ac:dyDescent="0.25">
      <c r="B20" s="225"/>
      <c r="C20" s="225"/>
      <c r="D20" s="139">
        <f>IF(D14="","",VLOOKUP(D14,$AA$4:$AB$12,2,FALSE))</f>
        <v>0</v>
      </c>
      <c r="E20" s="139">
        <f>IF(E14="","",VLOOKUP(E14,$AA$4:$AB$12,2,FALSE))</f>
        <v>0</v>
      </c>
      <c r="F20" s="139" t="str">
        <f t="shared" ref="F20" si="1">IF(F14="","",VLOOKUP(F14,$AA$4:$AB$12,2,FALSE))</f>
        <v/>
      </c>
      <c r="G20" s="139" t="str">
        <f>IF(G14="","",VLOOKUP(G14,$AA$4:$AB$12,2,FALSE))</f>
        <v/>
      </c>
      <c r="H20" s="139" t="str">
        <f t="shared" ref="H20:L20" si="2">IF(H14="","",VLOOKUP(H14,$AA$4:$AB$12,2,FALSE))</f>
        <v/>
      </c>
      <c r="I20" s="139" t="str">
        <f t="shared" si="2"/>
        <v/>
      </c>
      <c r="J20" s="139" t="str">
        <f t="shared" si="2"/>
        <v/>
      </c>
      <c r="K20" s="139" t="str">
        <f t="shared" si="2"/>
        <v/>
      </c>
      <c r="L20" s="139" t="str">
        <f t="shared" si="2"/>
        <v/>
      </c>
      <c r="M20" s="3"/>
      <c r="N20" s="3"/>
      <c r="O20" s="3"/>
      <c r="P20" s="3"/>
      <c r="Q20" s="3"/>
      <c r="R20" s="3"/>
      <c r="S20" s="3"/>
      <c r="T20" s="3"/>
      <c r="U20" s="3"/>
      <c r="V20" s="3"/>
      <c r="W20" s="3"/>
      <c r="AD20" s="136">
        <v>2033</v>
      </c>
    </row>
    <row r="21" spans="2:30" customFormat="1" x14ac:dyDescent="0.25">
      <c r="B21" s="225"/>
      <c r="C21" s="225"/>
      <c r="D21" s="139"/>
      <c r="E21" s="226" t="str">
        <f>IF(OR(E20="",E20=0),"",(IF($D$14="Certifiering",((E16/$D$16)-1),((E16/$E$16)-1))))</f>
        <v/>
      </c>
      <c r="F21" s="226" t="str">
        <f>IF(OR(F20="",F20=0),"",(IF($D$14="Certifiering",((F16/$D$16)-1),((F16/$E$16)-1))))</f>
        <v/>
      </c>
      <c r="G21" s="226" t="str">
        <f>IF(OR(G20="",G20=0),"",(IF($D$14="Certifiering",((G16/$D$16)-1),((G16/$E$16)-1))))</f>
        <v/>
      </c>
      <c r="H21" s="226" t="str">
        <f t="shared" ref="H21:L21" si="3">IF(OR(H20="",H20=0),"",(IF($D$14="Certifiering",((H16/$D$16)-1),((H16/$E$16)-1))))</f>
        <v/>
      </c>
      <c r="I21" s="226" t="str">
        <f t="shared" si="3"/>
        <v/>
      </c>
      <c r="J21" s="226" t="str">
        <f t="shared" si="3"/>
        <v/>
      </c>
      <c r="K21" s="226" t="str">
        <f t="shared" si="3"/>
        <v/>
      </c>
      <c r="L21" s="226" t="str">
        <f t="shared" si="3"/>
        <v/>
      </c>
      <c r="M21" s="3"/>
      <c r="N21" s="3"/>
      <c r="O21" s="3"/>
      <c r="P21" s="3"/>
      <c r="Q21" s="3"/>
      <c r="R21" s="3"/>
      <c r="S21" s="3"/>
      <c r="T21" s="3"/>
      <c r="U21" s="3"/>
      <c r="V21" s="3"/>
      <c r="W21" s="3"/>
      <c r="AD21" s="136"/>
    </row>
    <row r="22" spans="2:30" ht="17.25" customHeight="1" x14ac:dyDescent="0.35">
      <c r="B22" s="376" t="s">
        <v>1478</v>
      </c>
      <c r="C22" s="378"/>
      <c r="D22" s="378"/>
      <c r="E22" s="378"/>
      <c r="F22" s="378"/>
      <c r="G22" s="378"/>
      <c r="H22" s="378"/>
      <c r="I22" s="378"/>
      <c r="J22" s="378"/>
      <c r="K22" s="378"/>
      <c r="L22" s="378"/>
      <c r="M22" s="378"/>
      <c r="N22" s="378"/>
      <c r="O22" s="378"/>
      <c r="P22" s="378"/>
      <c r="Q22" s="378"/>
      <c r="R22" s="378"/>
      <c r="S22" s="378"/>
      <c r="T22" s="378"/>
      <c r="U22" s="377"/>
    </row>
    <row r="23" spans="2:30" customFormat="1" ht="17.25" customHeight="1" x14ac:dyDescent="0.25">
      <c r="B23" s="381" t="s">
        <v>1343</v>
      </c>
      <c r="C23" s="381"/>
      <c r="D23" s="380" t="str">
        <f>IF($D$14="","",$D$14)</f>
        <v>Referensår</v>
      </c>
      <c r="E23" s="380"/>
      <c r="F23" s="380" t="str">
        <f>IF($E$14="","",$E$14)</f>
        <v>Certifiering</v>
      </c>
      <c r="G23" s="380"/>
      <c r="H23" s="380" t="str">
        <f>IF($F$14="","",$F$14)</f>
        <v/>
      </c>
      <c r="I23" s="380"/>
      <c r="J23" s="380" t="str">
        <f>IF($G$14="","",$G$14)</f>
        <v/>
      </c>
      <c r="K23" s="380"/>
      <c r="L23" s="380" t="str">
        <f>IF($H$14="","",$H$14)</f>
        <v/>
      </c>
      <c r="M23" s="380"/>
      <c r="N23" s="380" t="str">
        <f>IF($I$14="","",$I$14)</f>
        <v/>
      </c>
      <c r="O23" s="380"/>
      <c r="P23" s="380" t="str">
        <f>IF($J$14="","",$J$14)</f>
        <v/>
      </c>
      <c r="Q23" s="380"/>
      <c r="R23" s="380" t="str">
        <f>IF($K$14="","",$K$14)</f>
        <v/>
      </c>
      <c r="S23" s="380"/>
      <c r="T23" s="380" t="str">
        <f>IF($L$14="","",$L$14)</f>
        <v/>
      </c>
      <c r="U23" s="380"/>
      <c r="AD23" s="3"/>
    </row>
    <row r="24" spans="2:30" customFormat="1" ht="17.25" customHeight="1" x14ac:dyDescent="0.25">
      <c r="B24" s="381" t="s">
        <v>1336</v>
      </c>
      <c r="C24" s="381"/>
      <c r="D24" s="380">
        <f>IF($D$15="","",$D$15)</f>
        <v>2019</v>
      </c>
      <c r="E24" s="380"/>
      <c r="F24" s="380">
        <f>IF($E$15="","",$E$15)</f>
        <v>2022</v>
      </c>
      <c r="G24" s="380"/>
      <c r="H24" s="380" t="str">
        <f>IF($F$15="","",$F$15)</f>
        <v/>
      </c>
      <c r="I24" s="380"/>
      <c r="J24" s="380" t="str">
        <f>IF($G$15="","",$G$15)</f>
        <v/>
      </c>
      <c r="K24" s="380"/>
      <c r="L24" s="380" t="str">
        <f>IF($H$15="","",$H$15)</f>
        <v/>
      </c>
      <c r="M24" s="380"/>
      <c r="N24" s="380" t="str">
        <f>IF($I$15="","",$I$15)</f>
        <v/>
      </c>
      <c r="O24" s="380"/>
      <c r="P24" s="380" t="str">
        <f>IF($J$15="","",$J$15)</f>
        <v/>
      </c>
      <c r="Q24" s="380"/>
      <c r="R24" s="380" t="str">
        <f>IF($K$15="","",$K$15)</f>
        <v/>
      </c>
      <c r="S24" s="380"/>
      <c r="T24" s="380" t="str">
        <f>IF($L$15="","",$L$15)</f>
        <v/>
      </c>
      <c r="U24" s="380"/>
      <c r="AD24" s="3"/>
    </row>
    <row r="25" spans="2:30" ht="15.75" customHeight="1" x14ac:dyDescent="0.25">
      <c r="B25" s="140"/>
      <c r="D25" s="141" t="s">
        <v>1325</v>
      </c>
      <c r="E25" s="141" t="s">
        <v>1326</v>
      </c>
      <c r="F25" s="141" t="s">
        <v>1325</v>
      </c>
      <c r="G25" s="141" t="s">
        <v>1326</v>
      </c>
      <c r="H25" s="141" t="s">
        <v>1325</v>
      </c>
      <c r="I25" s="141" t="s">
        <v>1326</v>
      </c>
      <c r="J25" s="141" t="s">
        <v>1325</v>
      </c>
      <c r="K25" s="141" t="s">
        <v>1326</v>
      </c>
      <c r="L25" s="141" t="s">
        <v>1325</v>
      </c>
      <c r="M25" s="141" t="s">
        <v>1326</v>
      </c>
      <c r="N25" s="141" t="s">
        <v>1325</v>
      </c>
      <c r="O25" s="141" t="s">
        <v>1326</v>
      </c>
      <c r="P25" s="141" t="s">
        <v>1325</v>
      </c>
      <c r="Q25" s="141" t="s">
        <v>1326</v>
      </c>
      <c r="R25" s="141" t="s">
        <v>1325</v>
      </c>
      <c r="S25" s="141" t="s">
        <v>1326</v>
      </c>
      <c r="T25" s="141" t="s">
        <v>1325</v>
      </c>
      <c r="U25" s="142" t="s">
        <v>1326</v>
      </c>
    </row>
    <row r="26" spans="2:30" x14ac:dyDescent="0.25">
      <c r="B26" s="381" t="s">
        <v>1337</v>
      </c>
      <c r="C26" s="381"/>
      <c r="D26" s="278"/>
      <c r="E26" s="278"/>
      <c r="F26" s="278"/>
      <c r="G26" s="278"/>
      <c r="H26" s="278"/>
      <c r="I26" s="278"/>
      <c r="J26" s="278"/>
      <c r="K26" s="278"/>
      <c r="L26" s="278"/>
      <c r="M26" s="278"/>
      <c r="N26" s="278"/>
      <c r="O26" s="278"/>
      <c r="P26" s="278"/>
      <c r="Q26" s="278"/>
      <c r="R26" s="278"/>
      <c r="S26" s="278"/>
      <c r="T26" s="278"/>
      <c r="U26" s="278"/>
    </row>
    <row r="27" spans="2:30" x14ac:dyDescent="0.25">
      <c r="B27" s="143" t="s">
        <v>29</v>
      </c>
      <c r="C27" s="144"/>
      <c r="D27" s="144"/>
      <c r="E27" s="144"/>
      <c r="F27" s="144"/>
      <c r="G27" s="144"/>
      <c r="H27" s="144"/>
      <c r="I27" s="144"/>
      <c r="J27" s="144"/>
      <c r="K27" s="144"/>
      <c r="L27" s="144"/>
      <c r="M27" s="144"/>
      <c r="N27" s="144"/>
      <c r="O27" s="144"/>
      <c r="P27" s="144"/>
      <c r="Q27" s="144"/>
      <c r="R27" s="144"/>
      <c r="S27" s="144"/>
      <c r="T27" s="144"/>
      <c r="U27" s="145"/>
    </row>
    <row r="28" spans="2:30" x14ac:dyDescent="0.25">
      <c r="B28" s="381" t="s">
        <v>1307</v>
      </c>
      <c r="C28" s="381"/>
      <c r="D28" s="278"/>
      <c r="E28" s="278"/>
      <c r="F28" s="278"/>
      <c r="G28" s="278"/>
      <c r="H28" s="278"/>
      <c r="I28" s="278"/>
      <c r="J28" s="278"/>
      <c r="K28" s="278"/>
      <c r="L28" s="278"/>
      <c r="M28" s="278"/>
      <c r="N28" s="278"/>
      <c r="O28" s="278"/>
      <c r="P28" s="278"/>
      <c r="Q28" s="278"/>
      <c r="R28" s="278"/>
      <c r="S28" s="278"/>
      <c r="T28" s="278"/>
      <c r="U28" s="278"/>
    </row>
    <row r="29" spans="2:30" x14ac:dyDescent="0.25">
      <c r="B29" s="381" t="s">
        <v>1308</v>
      </c>
      <c r="C29" s="381"/>
      <c r="D29" s="278"/>
      <c r="E29" s="278"/>
      <c r="F29" s="278"/>
      <c r="G29" s="278"/>
      <c r="H29" s="278"/>
      <c r="I29" s="278"/>
      <c r="J29" s="278"/>
      <c r="K29" s="278"/>
      <c r="L29" s="278"/>
      <c r="M29" s="278"/>
      <c r="N29" s="278"/>
      <c r="O29" s="278"/>
      <c r="P29" s="278"/>
      <c r="Q29" s="278"/>
      <c r="R29" s="278"/>
      <c r="S29" s="278"/>
      <c r="T29" s="278"/>
      <c r="U29" s="278"/>
    </row>
    <row r="30" spans="2:30" x14ac:dyDescent="0.25">
      <c r="B30" s="381" t="s">
        <v>1309</v>
      </c>
      <c r="C30" s="381"/>
      <c r="D30" s="278"/>
      <c r="E30" s="278"/>
      <c r="F30" s="278"/>
      <c r="G30" s="278"/>
      <c r="H30" s="278"/>
      <c r="I30" s="278"/>
      <c r="J30" s="278"/>
      <c r="K30" s="278"/>
      <c r="L30" s="278"/>
      <c r="M30" s="278"/>
      <c r="N30" s="278"/>
      <c r="O30" s="278"/>
      <c r="P30" s="278"/>
      <c r="Q30" s="278"/>
      <c r="R30" s="278"/>
      <c r="S30" s="278"/>
      <c r="T30" s="278"/>
      <c r="U30" s="278"/>
    </row>
    <row r="31" spans="2:30" x14ac:dyDescent="0.25">
      <c r="B31" s="381" t="s">
        <v>1078</v>
      </c>
      <c r="C31" s="381"/>
      <c r="D31" s="279"/>
      <c r="E31" s="279"/>
      <c r="F31" s="279"/>
      <c r="G31" s="279"/>
      <c r="H31" s="279"/>
      <c r="I31" s="279"/>
      <c r="J31" s="279"/>
      <c r="K31" s="279"/>
      <c r="L31" s="279"/>
      <c r="M31" s="279"/>
      <c r="N31" s="279"/>
      <c r="O31" s="279"/>
      <c r="P31" s="279"/>
      <c r="Q31" s="279"/>
      <c r="R31" s="279"/>
      <c r="S31" s="279"/>
      <c r="T31" s="279"/>
      <c r="U31" s="279"/>
    </row>
    <row r="32" spans="2:30" ht="15" customHeight="1" x14ac:dyDescent="0.35">
      <c r="B32" s="146" t="s">
        <v>1340</v>
      </c>
      <c r="C32" s="147"/>
      <c r="D32" s="147"/>
      <c r="E32" s="147"/>
      <c r="F32" s="147"/>
      <c r="G32" s="147"/>
      <c r="H32" s="147"/>
      <c r="I32" s="147"/>
      <c r="J32" s="147"/>
      <c r="K32" s="147"/>
      <c r="L32" s="147"/>
      <c r="M32" s="147"/>
      <c r="N32" s="147"/>
      <c r="O32" s="147"/>
      <c r="P32" s="147"/>
      <c r="Q32" s="147"/>
      <c r="R32" s="147"/>
      <c r="S32" s="147"/>
      <c r="T32" s="147"/>
      <c r="U32" s="148"/>
    </row>
    <row r="33" spans="2:21" x14ac:dyDescent="0.25">
      <c r="B33" s="381" t="str">
        <f>IF('Indata byggnad och BBR krav'!C17&gt;0,"Hushållsenergi","Hushållsenergi (Finns ej)")</f>
        <v>Hushållsenergi</v>
      </c>
      <c r="C33" s="381"/>
      <c r="D33" s="278"/>
      <c r="E33" s="242"/>
      <c r="F33" s="278"/>
      <c r="G33" s="278"/>
      <c r="H33" s="278"/>
      <c r="I33" s="278"/>
      <c r="J33" s="278"/>
      <c r="K33" s="278"/>
      <c r="L33" s="278"/>
      <c r="M33" s="278"/>
      <c r="N33" s="278"/>
      <c r="O33" s="278"/>
      <c r="P33" s="278"/>
      <c r="Q33" s="278"/>
      <c r="R33" s="278"/>
      <c r="S33" s="278"/>
      <c r="T33" s="278"/>
      <c r="U33" s="278"/>
    </row>
    <row r="34" spans="2:21" x14ac:dyDescent="0.25">
      <c r="B34" s="381" t="str">
        <f>IF('Indata byggnad och BBR krav'!C18&gt;0,"Verksamhetsenergi","Verksamhetsenergi (finns ej)")</f>
        <v>Verksamhetsenergi</v>
      </c>
      <c r="C34" s="381"/>
      <c r="D34" s="242"/>
      <c r="E34" s="242"/>
      <c r="F34" s="278"/>
      <c r="G34" s="278"/>
      <c r="H34" s="278"/>
      <c r="I34" s="278"/>
      <c r="J34" s="278"/>
      <c r="K34" s="278"/>
      <c r="L34" s="278"/>
      <c r="M34" s="278"/>
      <c r="N34" s="278"/>
      <c r="O34" s="278"/>
      <c r="P34" s="278"/>
      <c r="Q34" s="278"/>
      <c r="R34" s="278"/>
      <c r="S34" s="278"/>
      <c r="T34" s="278"/>
      <c r="U34" s="278"/>
    </row>
    <row r="35" spans="2:21" customFormat="1" x14ac:dyDescent="0.25">
      <c r="B35" s="20"/>
      <c r="C35" s="20"/>
      <c r="D35" s="3"/>
      <c r="E35" s="3"/>
      <c r="F35" s="3"/>
      <c r="G35" s="3"/>
      <c r="H35" s="3"/>
      <c r="I35" s="3"/>
      <c r="J35" s="3"/>
      <c r="K35" s="3"/>
      <c r="L35" s="3"/>
      <c r="M35" s="3"/>
      <c r="N35" s="3"/>
      <c r="O35" s="3"/>
      <c r="P35" s="3"/>
      <c r="Q35" s="3"/>
      <c r="R35" s="3"/>
      <c r="S35" s="3"/>
      <c r="T35" s="3"/>
      <c r="U35" s="3"/>
    </row>
    <row r="36" spans="2:21" customFormat="1" x14ac:dyDescent="0.25">
      <c r="B36" s="20"/>
      <c r="C36" s="20"/>
      <c r="D36" s="3"/>
      <c r="E36" s="3"/>
      <c r="F36" s="3"/>
      <c r="G36" s="3"/>
      <c r="H36" s="3"/>
      <c r="I36" s="3"/>
      <c r="J36" s="3"/>
      <c r="K36" s="3"/>
      <c r="L36" s="3"/>
      <c r="M36" s="3"/>
      <c r="N36" s="3"/>
      <c r="O36" s="3"/>
      <c r="P36" s="3"/>
      <c r="Q36" s="3"/>
      <c r="R36" s="3"/>
      <c r="S36" s="3"/>
      <c r="T36" s="3"/>
      <c r="U36" s="3"/>
    </row>
    <row r="37" spans="2:21" ht="15" customHeight="1" x14ac:dyDescent="0.35">
      <c r="B37" s="376" t="s">
        <v>1450</v>
      </c>
      <c r="C37" s="378"/>
      <c r="D37" s="378"/>
      <c r="E37" s="378"/>
      <c r="F37" s="378"/>
      <c r="G37" s="378"/>
      <c r="H37" s="378"/>
      <c r="I37" s="378"/>
      <c r="J37" s="378"/>
      <c r="K37" s="378"/>
      <c r="L37" s="378"/>
      <c r="M37" s="378"/>
      <c r="N37" s="378"/>
      <c r="O37" s="378"/>
      <c r="P37" s="378"/>
      <c r="Q37" s="378"/>
      <c r="R37" s="378"/>
      <c r="S37" s="378"/>
      <c r="T37" s="378"/>
      <c r="U37" s="377"/>
    </row>
    <row r="38" spans="2:21" customFormat="1" ht="15" customHeight="1" x14ac:dyDescent="0.25">
      <c r="B38" s="381" t="s">
        <v>1343</v>
      </c>
      <c r="C38" s="381"/>
      <c r="D38" s="380" t="str">
        <f>IF($D$14="","",$D$14)</f>
        <v>Referensår</v>
      </c>
      <c r="E38" s="380"/>
      <c r="F38" s="380" t="str">
        <f>IF($E$14="","",$E$14)</f>
        <v>Certifiering</v>
      </c>
      <c r="G38" s="380"/>
      <c r="H38" s="380" t="str">
        <f>IF($F$14="","",$F$14)</f>
        <v/>
      </c>
      <c r="I38" s="380"/>
      <c r="J38" s="380" t="str">
        <f>IF($G$14="","",$G$14)</f>
        <v/>
      </c>
      <c r="K38" s="380"/>
      <c r="L38" s="380" t="str">
        <f>IF($H$14="","",$H$14)</f>
        <v/>
      </c>
      <c r="M38" s="380"/>
      <c r="N38" s="380" t="str">
        <f>IF($I$14="","",$I$14)</f>
        <v/>
      </c>
      <c r="O38" s="380"/>
      <c r="P38" s="380" t="str">
        <f>IF($J$14="","",$J$14)</f>
        <v/>
      </c>
      <c r="Q38" s="380"/>
      <c r="R38" s="380" t="str">
        <f>IF($K$14="","",$K$14)</f>
        <v/>
      </c>
      <c r="S38" s="380"/>
      <c r="T38" s="380" t="str">
        <f>IF($L$14="","",$L$14)</f>
        <v/>
      </c>
      <c r="U38" s="380"/>
    </row>
    <row r="39" spans="2:21" customFormat="1" ht="15" customHeight="1" x14ac:dyDescent="0.25">
      <c r="B39" s="382" t="s">
        <v>1336</v>
      </c>
      <c r="C39" s="382"/>
      <c r="D39" s="380">
        <f>IF($D$15="","",$D$15)</f>
        <v>2019</v>
      </c>
      <c r="E39" s="380"/>
      <c r="F39" s="380">
        <f>IF($E$15="","",$E$15)</f>
        <v>2022</v>
      </c>
      <c r="G39" s="380"/>
      <c r="H39" s="380" t="str">
        <f>IF($F$15="","",$F$15)</f>
        <v/>
      </c>
      <c r="I39" s="380"/>
      <c r="J39" s="380" t="str">
        <f>IF($G$15="","",$G$15)</f>
        <v/>
      </c>
      <c r="K39" s="380"/>
      <c r="L39" s="380" t="str">
        <f>IF($H$15="","",$H$15)</f>
        <v/>
      </c>
      <c r="M39" s="380"/>
      <c r="N39" s="380" t="str">
        <f>IF($I$15="","",$I$15)</f>
        <v/>
      </c>
      <c r="O39" s="380"/>
      <c r="P39" s="380" t="str">
        <f>IF($J$15="","",$J$15)</f>
        <v/>
      </c>
      <c r="Q39" s="380"/>
      <c r="R39" s="380" t="str">
        <f>IF($K$15="","",$K$15)</f>
        <v/>
      </c>
      <c r="S39" s="380"/>
      <c r="T39" s="380" t="str">
        <f>IF($L$15="","",$L$15)</f>
        <v/>
      </c>
      <c r="U39" s="380"/>
    </row>
    <row r="40" spans="2:21" x14ac:dyDescent="0.25">
      <c r="B40" s="392" t="s">
        <v>1414</v>
      </c>
      <c r="C40" s="393"/>
      <c r="D40" s="391"/>
      <c r="E40" s="391"/>
      <c r="F40" s="391"/>
      <c r="G40" s="391"/>
      <c r="H40" s="391"/>
      <c r="I40" s="391"/>
      <c r="J40" s="391"/>
      <c r="K40" s="391"/>
      <c r="L40" s="391"/>
      <c r="M40" s="391"/>
      <c r="N40" s="391"/>
      <c r="O40" s="391"/>
      <c r="P40" s="391"/>
      <c r="Q40" s="391"/>
      <c r="R40" s="391"/>
      <c r="S40" s="391"/>
      <c r="T40" s="391"/>
      <c r="U40" s="391"/>
    </row>
    <row r="41" spans="2:21" x14ac:dyDescent="0.25">
      <c r="B41" s="392" t="s">
        <v>1419</v>
      </c>
      <c r="C41" s="393"/>
      <c r="D41" s="391"/>
      <c r="E41" s="391"/>
      <c r="F41" s="391"/>
      <c r="G41" s="391"/>
      <c r="H41" s="391"/>
      <c r="I41" s="391"/>
      <c r="J41" s="391"/>
      <c r="K41" s="391"/>
      <c r="L41" s="391"/>
      <c r="M41" s="391"/>
      <c r="N41" s="391"/>
      <c r="O41" s="391"/>
      <c r="P41" s="391"/>
      <c r="Q41" s="391"/>
      <c r="R41" s="391"/>
      <c r="S41" s="391"/>
      <c r="T41" s="391"/>
      <c r="U41" s="391"/>
    </row>
  </sheetData>
  <sheetProtection algorithmName="SHA-512" hashValue="mvBzCK4rfXmWknzzazP+02+cpVGwy/+S3kJjim3KIxA6KAnPbFTMKoQbywoUEtTZ2O/Nc+pNQ6lKWLCdBYZ26A==" saltValue="/iSuE+DoQB2/R4C9dZlEZA==" spinCount="100000" sheet="1" objects="1" scenarios="1" selectLockedCells="1"/>
  <mergeCells count="86">
    <mergeCell ref="B33:C33"/>
    <mergeCell ref="B34:C34"/>
    <mergeCell ref="D40:E40"/>
    <mergeCell ref="D41:E41"/>
    <mergeCell ref="B17:C17"/>
    <mergeCell ref="B28:C28"/>
    <mergeCell ref="B29:C29"/>
    <mergeCell ref="B30:C30"/>
    <mergeCell ref="B31:C31"/>
    <mergeCell ref="B23:C23"/>
    <mergeCell ref="B26:C26"/>
    <mergeCell ref="B40:C40"/>
    <mergeCell ref="B41:C41"/>
    <mergeCell ref="B37:U37"/>
    <mergeCell ref="R41:S41"/>
    <mergeCell ref="T40:U40"/>
    <mergeCell ref="L41:M41"/>
    <mergeCell ref="J40:K40"/>
    <mergeCell ref="F40:G40"/>
    <mergeCell ref="F41:G41"/>
    <mergeCell ref="H40:I40"/>
    <mergeCell ref="H41:I41"/>
    <mergeCell ref="J41:K41"/>
    <mergeCell ref="L40:M40"/>
    <mergeCell ref="T41:U41"/>
    <mergeCell ref="R40:S40"/>
    <mergeCell ref="T38:U38"/>
    <mergeCell ref="P39:Q39"/>
    <mergeCell ref="N41:O41"/>
    <mergeCell ref="P40:Q40"/>
    <mergeCell ref="P41:Q41"/>
    <mergeCell ref="N40:O40"/>
    <mergeCell ref="N39:O39"/>
    <mergeCell ref="P38:Q38"/>
    <mergeCell ref="R38:S38"/>
    <mergeCell ref="R39:S39"/>
    <mergeCell ref="T39:U39"/>
    <mergeCell ref="N38:O38"/>
    <mergeCell ref="B22:U22"/>
    <mergeCell ref="B16:C16"/>
    <mergeCell ref="B14:C14"/>
    <mergeCell ref="B9:C9"/>
    <mergeCell ref="B10:C10"/>
    <mergeCell ref="B11:C11"/>
    <mergeCell ref="B6:F6"/>
    <mergeCell ref="D23:E23"/>
    <mergeCell ref="F23:G23"/>
    <mergeCell ref="B24:C24"/>
    <mergeCell ref="D24:E24"/>
    <mergeCell ref="F24:G24"/>
    <mergeCell ref="B18:C18"/>
    <mergeCell ref="B19:C19"/>
    <mergeCell ref="D7:F7"/>
    <mergeCell ref="D8:F8"/>
    <mergeCell ref="D9:F9"/>
    <mergeCell ref="D10:F10"/>
    <mergeCell ref="D11:F11"/>
    <mergeCell ref="B7:C7"/>
    <mergeCell ref="B8:C8"/>
    <mergeCell ref="B15:C15"/>
    <mergeCell ref="H24:I24"/>
    <mergeCell ref="J24:K24"/>
    <mergeCell ref="T24:U24"/>
    <mergeCell ref="L23:M23"/>
    <mergeCell ref="N23:O23"/>
    <mergeCell ref="P23:Q23"/>
    <mergeCell ref="R23:S23"/>
    <mergeCell ref="T23:U23"/>
    <mergeCell ref="L24:M24"/>
    <mergeCell ref="N24:O24"/>
    <mergeCell ref="P24:Q24"/>
    <mergeCell ref="R24:S24"/>
    <mergeCell ref="H23:I23"/>
    <mergeCell ref="J23:K23"/>
    <mergeCell ref="L39:M39"/>
    <mergeCell ref="B38:C38"/>
    <mergeCell ref="D38:E38"/>
    <mergeCell ref="F38:G38"/>
    <mergeCell ref="H38:I38"/>
    <mergeCell ref="J38:K38"/>
    <mergeCell ref="L38:M38"/>
    <mergeCell ref="B39:C39"/>
    <mergeCell ref="D39:E39"/>
    <mergeCell ref="F39:G39"/>
    <mergeCell ref="H39:I39"/>
    <mergeCell ref="J39:K39"/>
  </mergeCells>
  <phoneticPr fontId="41" type="noConversion"/>
  <dataValidations count="3">
    <dataValidation type="list" allowBlank="1" showInputMessage="1" showErrorMessage="1" sqref="D14:L14" xr:uid="{D2E93EC0-08F7-4E2D-9101-33157EAC0418}">
      <formula1>$AA$4:$AA$12</formula1>
    </dataValidation>
    <dataValidation type="list" allowBlank="1" showInputMessage="1" showErrorMessage="1" sqref="D15:L15" xr:uid="{0584AD0B-640E-4806-8F8B-5D7AA40741A2}">
      <formula1>$AD$4:$AD$20</formula1>
    </dataValidation>
    <dataValidation type="list" allowBlank="1" showInputMessage="1" showErrorMessage="1" sqref="D18:L18" xr:uid="{9D225E62-43F3-4742-B3C9-4BAE3367F67D}">
      <formula1>$AF$4:$AF$5</formula1>
    </dataValidation>
  </dataValidations>
  <pageMargins left="0.7" right="0.7" top="0.75" bottom="0.75" header="0.3" footer="0.3"/>
  <pageSetup paperSize="9" orientation="portrait" horizontalDpi="4294967293"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9BB10-D589-49B1-A0C8-D60BC8C0FD60}">
  <sheetPr codeName="Sheet5"/>
  <dimension ref="A1:ME99"/>
  <sheetViews>
    <sheetView zoomScale="80" zoomScaleNormal="80" workbookViewId="0">
      <pane ySplit="15" topLeftCell="A16" activePane="bottomLeft" state="frozen"/>
      <selection activeCell="JI1" sqref="JI1"/>
      <selection pane="bottomLeft" activeCell="KR1" sqref="C1:KR1"/>
    </sheetView>
  </sheetViews>
  <sheetFormatPr defaultRowHeight="15" x14ac:dyDescent="0.25"/>
  <cols>
    <col min="1" max="1" width="9.5703125" bestFit="1" customWidth="1"/>
    <col min="2" max="13" width="9.28515625" bestFit="1" customWidth="1"/>
    <col min="18" max="18" width="9.7109375" customWidth="1"/>
    <col min="284" max="292" width="9.28515625" customWidth="1"/>
    <col min="293" max="293" width="9.28515625" bestFit="1" customWidth="1"/>
  </cols>
  <sheetData>
    <row r="1" spans="1:304" s="60" customFormat="1" x14ac:dyDescent="0.25">
      <c r="A1" s="40" t="s">
        <v>30</v>
      </c>
      <c r="B1" s="40"/>
      <c r="C1" s="312" t="s">
        <v>339</v>
      </c>
      <c r="D1" s="312" t="s">
        <v>32</v>
      </c>
      <c r="E1" s="312" t="s">
        <v>33</v>
      </c>
      <c r="F1" s="312" t="s">
        <v>34</v>
      </c>
      <c r="G1" s="312" t="s">
        <v>37</v>
      </c>
      <c r="H1" s="312" t="s">
        <v>42</v>
      </c>
      <c r="I1" s="312" t="s">
        <v>45</v>
      </c>
      <c r="J1" s="312" t="s">
        <v>46</v>
      </c>
      <c r="K1" s="312" t="s">
        <v>47</v>
      </c>
      <c r="L1" s="312" t="s">
        <v>49</v>
      </c>
      <c r="M1" s="312" t="s">
        <v>51</v>
      </c>
      <c r="N1" s="312" t="s">
        <v>53</v>
      </c>
      <c r="O1" s="312" t="s">
        <v>54</v>
      </c>
      <c r="P1" s="312" t="s">
        <v>55</v>
      </c>
      <c r="Q1" s="312" t="s">
        <v>56</v>
      </c>
      <c r="R1" s="312" t="s">
        <v>57</v>
      </c>
      <c r="S1" s="312" t="s">
        <v>58</v>
      </c>
      <c r="T1" s="312" t="s">
        <v>60</v>
      </c>
      <c r="U1" s="312" t="s">
        <v>61</v>
      </c>
      <c r="V1" s="312" t="s">
        <v>59</v>
      </c>
      <c r="W1" s="312" t="s">
        <v>355</v>
      </c>
      <c r="X1" s="312" t="s">
        <v>64</v>
      </c>
      <c r="Y1" s="312" t="s">
        <v>65</v>
      </c>
      <c r="Z1" s="312" t="s">
        <v>63</v>
      </c>
      <c r="AA1" s="313" t="s">
        <v>358</v>
      </c>
      <c r="AB1" s="312" t="s">
        <v>52</v>
      </c>
      <c r="AC1" s="312" t="s">
        <v>67</v>
      </c>
      <c r="AD1" s="314" t="s">
        <v>1625</v>
      </c>
      <c r="AE1" s="312" t="s">
        <v>68</v>
      </c>
      <c r="AF1" s="312" t="s">
        <v>69</v>
      </c>
      <c r="AG1" s="312" t="s">
        <v>360</v>
      </c>
      <c r="AH1" s="312" t="s">
        <v>71</v>
      </c>
      <c r="AI1" s="312" t="s">
        <v>72</v>
      </c>
      <c r="AJ1" s="312" t="s">
        <v>74</v>
      </c>
      <c r="AK1" s="312" t="s">
        <v>75</v>
      </c>
      <c r="AL1" s="312" t="s">
        <v>76</v>
      </c>
      <c r="AM1" s="312" t="s">
        <v>77</v>
      </c>
      <c r="AN1" s="312" t="s">
        <v>78</v>
      </c>
      <c r="AO1" s="312" t="s">
        <v>79</v>
      </c>
      <c r="AP1" s="312" t="s">
        <v>80</v>
      </c>
      <c r="AQ1" s="312" t="s">
        <v>81</v>
      </c>
      <c r="AR1" s="312" t="s">
        <v>82</v>
      </c>
      <c r="AS1" s="312" t="s">
        <v>83</v>
      </c>
      <c r="AT1" s="312" t="s">
        <v>84</v>
      </c>
      <c r="AU1" s="312" t="s">
        <v>86</v>
      </c>
      <c r="AV1" s="312" t="s">
        <v>87</v>
      </c>
      <c r="AW1" s="312" t="s">
        <v>88</v>
      </c>
      <c r="AX1" s="312" t="s">
        <v>89</v>
      </c>
      <c r="AY1" s="312" t="s">
        <v>91</v>
      </c>
      <c r="AZ1" s="312" t="s">
        <v>92</v>
      </c>
      <c r="BA1" s="312" t="s">
        <v>85</v>
      </c>
      <c r="BB1" s="312" t="s">
        <v>370</v>
      </c>
      <c r="BC1" s="312" t="s">
        <v>94</v>
      </c>
      <c r="BD1" s="312" t="s">
        <v>97</v>
      </c>
      <c r="BE1" s="312" t="s">
        <v>98</v>
      </c>
      <c r="BF1" s="312" t="s">
        <v>101</v>
      </c>
      <c r="BG1" s="312" t="s">
        <v>93</v>
      </c>
      <c r="BH1" s="312" t="s">
        <v>95</v>
      </c>
      <c r="BI1" s="312" t="s">
        <v>96</v>
      </c>
      <c r="BJ1" s="312" t="s">
        <v>99</v>
      </c>
      <c r="BK1" s="312" t="s">
        <v>100</v>
      </c>
      <c r="BL1" s="312" t="s">
        <v>102</v>
      </c>
      <c r="BM1" s="312" t="s">
        <v>103</v>
      </c>
      <c r="BN1" s="312" t="s">
        <v>105</v>
      </c>
      <c r="BO1" s="312" t="s">
        <v>106</v>
      </c>
      <c r="BP1" s="312" t="s">
        <v>107</v>
      </c>
      <c r="BQ1" s="312" t="s">
        <v>109</v>
      </c>
      <c r="BR1" s="312" t="s">
        <v>108</v>
      </c>
      <c r="BS1" s="312" t="s">
        <v>110</v>
      </c>
      <c r="BT1" s="312" t="s">
        <v>111</v>
      </c>
      <c r="BU1" s="312" t="s">
        <v>116</v>
      </c>
      <c r="BV1" s="312" t="s">
        <v>115</v>
      </c>
      <c r="BW1" s="312" t="s">
        <v>117</v>
      </c>
      <c r="BX1" s="312" t="s">
        <v>118</v>
      </c>
      <c r="BY1" s="312" t="s">
        <v>119</v>
      </c>
      <c r="BZ1" s="312" t="s">
        <v>120</v>
      </c>
      <c r="CA1" s="312" t="s">
        <v>121</v>
      </c>
      <c r="CB1" s="312" t="s">
        <v>122</v>
      </c>
      <c r="CC1" s="312" t="s">
        <v>127</v>
      </c>
      <c r="CD1" s="312" t="s">
        <v>128</v>
      </c>
      <c r="CE1" s="312" t="s">
        <v>129</v>
      </c>
      <c r="CF1" s="312" t="s">
        <v>130</v>
      </c>
      <c r="CG1" s="312" t="s">
        <v>131</v>
      </c>
      <c r="CH1" s="312" t="s">
        <v>104</v>
      </c>
      <c r="CI1" s="313" t="s">
        <v>378</v>
      </c>
      <c r="CJ1" s="312" t="s">
        <v>113</v>
      </c>
      <c r="CK1" s="312" t="s">
        <v>114</v>
      </c>
      <c r="CL1" s="312" t="s">
        <v>123</v>
      </c>
      <c r="CM1" s="313" t="s">
        <v>380</v>
      </c>
      <c r="CN1" s="312" t="s">
        <v>381</v>
      </c>
      <c r="CO1" s="312" t="s">
        <v>125</v>
      </c>
      <c r="CP1" s="312" t="s">
        <v>133</v>
      </c>
      <c r="CQ1" s="312" t="s">
        <v>135</v>
      </c>
      <c r="CR1" s="312" t="s">
        <v>383</v>
      </c>
      <c r="CS1" s="313" t="s">
        <v>384</v>
      </c>
      <c r="CT1" s="312" t="s">
        <v>136</v>
      </c>
      <c r="CU1" s="312" t="s">
        <v>137</v>
      </c>
      <c r="CV1" s="312" t="s">
        <v>138</v>
      </c>
      <c r="CW1" s="312" t="s">
        <v>139</v>
      </c>
      <c r="CX1" s="312" t="s">
        <v>140</v>
      </c>
      <c r="CY1" s="312" t="s">
        <v>141</v>
      </c>
      <c r="CZ1" s="312" t="s">
        <v>142</v>
      </c>
      <c r="DA1" s="312" t="s">
        <v>143</v>
      </c>
      <c r="DB1" s="312" t="s">
        <v>144</v>
      </c>
      <c r="DC1" s="312" t="s">
        <v>146</v>
      </c>
      <c r="DD1" s="312" t="s">
        <v>147</v>
      </c>
      <c r="DE1" s="312" t="s">
        <v>148</v>
      </c>
      <c r="DF1" s="312" t="s">
        <v>149</v>
      </c>
      <c r="DG1" s="312" t="s">
        <v>150</v>
      </c>
      <c r="DH1" s="312" t="s">
        <v>151</v>
      </c>
      <c r="DI1" s="312" t="s">
        <v>153</v>
      </c>
      <c r="DJ1" s="312" t="s">
        <v>154</v>
      </c>
      <c r="DK1" s="312" t="s">
        <v>155</v>
      </c>
      <c r="DL1" s="312" t="s">
        <v>156</v>
      </c>
      <c r="DM1" s="312" t="s">
        <v>157</v>
      </c>
      <c r="DN1" s="312" t="s">
        <v>159</v>
      </c>
      <c r="DO1" s="312" t="s">
        <v>160</v>
      </c>
      <c r="DP1" s="313" t="s">
        <v>388</v>
      </c>
      <c r="DQ1" s="312" t="s">
        <v>161</v>
      </c>
      <c r="DR1" s="313" t="s">
        <v>389</v>
      </c>
      <c r="DS1" s="312" t="s">
        <v>152</v>
      </c>
      <c r="DT1" s="312" t="s">
        <v>162</v>
      </c>
      <c r="DU1" s="312" t="s">
        <v>163</v>
      </c>
      <c r="DV1" s="313" t="s">
        <v>391</v>
      </c>
      <c r="DW1" s="312" t="s">
        <v>165</v>
      </c>
      <c r="DX1" s="312" t="s">
        <v>166</v>
      </c>
      <c r="DY1" s="312" t="s">
        <v>167</v>
      </c>
      <c r="DZ1" s="312" t="s">
        <v>168</v>
      </c>
      <c r="EA1" s="312" t="s">
        <v>169</v>
      </c>
      <c r="EB1" s="312" t="s">
        <v>170</v>
      </c>
      <c r="EC1" s="312" t="s">
        <v>171</v>
      </c>
      <c r="ED1" s="312" t="s">
        <v>172</v>
      </c>
      <c r="EE1" s="312" t="s">
        <v>173</v>
      </c>
      <c r="EF1" s="312" t="s">
        <v>174</v>
      </c>
      <c r="EG1" s="312" t="s">
        <v>175</v>
      </c>
      <c r="EH1" s="312" t="s">
        <v>176</v>
      </c>
      <c r="EI1" s="312" t="s">
        <v>177</v>
      </c>
      <c r="EJ1" s="312" t="s">
        <v>178</v>
      </c>
      <c r="EK1" s="312" t="s">
        <v>179</v>
      </c>
      <c r="EL1" s="312" t="s">
        <v>180</v>
      </c>
      <c r="EM1" s="312" t="s">
        <v>181</v>
      </c>
      <c r="EN1" s="312" t="s">
        <v>395</v>
      </c>
      <c r="EO1" s="312" t="s">
        <v>184</v>
      </c>
      <c r="EP1" s="312" t="s">
        <v>185</v>
      </c>
      <c r="EQ1" s="313" t="s">
        <v>400</v>
      </c>
      <c r="ER1" s="312" t="s">
        <v>186</v>
      </c>
      <c r="ES1" s="312" t="s">
        <v>187</v>
      </c>
      <c r="ET1" s="312" t="s">
        <v>189</v>
      </c>
      <c r="EU1" s="312" t="s">
        <v>190</v>
      </c>
      <c r="EV1" s="312" t="s">
        <v>193</v>
      </c>
      <c r="EW1" s="312" t="s">
        <v>195</v>
      </c>
      <c r="EX1" s="312" t="s">
        <v>196</v>
      </c>
      <c r="EY1" s="312" t="s">
        <v>197</v>
      </c>
      <c r="EZ1" s="312" t="s">
        <v>188</v>
      </c>
      <c r="FA1" s="312" t="s">
        <v>191</v>
      </c>
      <c r="FB1" s="312" t="s">
        <v>192</v>
      </c>
      <c r="FC1" s="312" t="s">
        <v>194</v>
      </c>
      <c r="FD1" s="312" t="s">
        <v>198</v>
      </c>
      <c r="FE1" s="312" t="s">
        <v>200</v>
      </c>
      <c r="FF1" s="312" t="s">
        <v>201</v>
      </c>
      <c r="FG1" s="312" t="s">
        <v>202</v>
      </c>
      <c r="FH1" s="312" t="s">
        <v>203</v>
      </c>
      <c r="FI1" s="312" t="s">
        <v>204</v>
      </c>
      <c r="FJ1" s="312" t="s">
        <v>205</v>
      </c>
      <c r="FK1" s="312" t="s">
        <v>404</v>
      </c>
      <c r="FL1" s="312" t="s">
        <v>207</v>
      </c>
      <c r="FM1" s="312" t="s">
        <v>209</v>
      </c>
      <c r="FN1" s="312" t="s">
        <v>208</v>
      </c>
      <c r="FO1" s="312" t="s">
        <v>210</v>
      </c>
      <c r="FP1" s="313" t="s">
        <v>406</v>
      </c>
      <c r="FQ1" s="312" t="s">
        <v>211</v>
      </c>
      <c r="FR1" s="312" t="s">
        <v>214</v>
      </c>
      <c r="FS1" s="312" t="s">
        <v>218</v>
      </c>
      <c r="FT1" s="312" t="s">
        <v>219</v>
      </c>
      <c r="FU1" s="312" t="s">
        <v>220</v>
      </c>
      <c r="FV1" s="312" t="s">
        <v>221</v>
      </c>
      <c r="FW1" s="313" t="s">
        <v>408</v>
      </c>
      <c r="FX1" s="312" t="s">
        <v>229</v>
      </c>
      <c r="FY1" s="312" t="s">
        <v>230</v>
      </c>
      <c r="FZ1" s="313" t="s">
        <v>410</v>
      </c>
      <c r="GA1" s="312" t="s">
        <v>233</v>
      </c>
      <c r="GB1" s="312" t="s">
        <v>234</v>
      </c>
      <c r="GC1" s="312" t="s">
        <v>235</v>
      </c>
      <c r="GD1" s="313" t="s">
        <v>411</v>
      </c>
      <c r="GE1" s="312" t="s">
        <v>237</v>
      </c>
      <c r="GF1" s="312" t="s">
        <v>238</v>
      </c>
      <c r="GG1" s="312" t="s">
        <v>240</v>
      </c>
      <c r="GH1" s="312" t="s">
        <v>245</v>
      </c>
      <c r="GI1" s="312" t="s">
        <v>246</v>
      </c>
      <c r="GJ1" s="312" t="s">
        <v>247</v>
      </c>
      <c r="GK1" s="312" t="s">
        <v>248</v>
      </c>
      <c r="GL1" s="312" t="s">
        <v>249</v>
      </c>
      <c r="GM1" s="312" t="s">
        <v>250</v>
      </c>
      <c r="GN1" s="312" t="s">
        <v>252</v>
      </c>
      <c r="GO1" s="312" t="s">
        <v>253</v>
      </c>
      <c r="GP1" s="312" t="s">
        <v>251</v>
      </c>
      <c r="GQ1" s="312" t="s">
        <v>254</v>
      </c>
      <c r="GR1" s="312" t="s">
        <v>258</v>
      </c>
      <c r="GS1" s="312" t="s">
        <v>259</v>
      </c>
      <c r="GT1" s="312" t="s">
        <v>260</v>
      </c>
      <c r="GU1" s="312" t="s">
        <v>262</v>
      </c>
      <c r="GV1" s="312" t="s">
        <v>263</v>
      </c>
      <c r="GW1" s="312" t="s">
        <v>264</v>
      </c>
      <c r="GX1" s="312" t="s">
        <v>265</v>
      </c>
      <c r="GY1" s="312" t="s">
        <v>267</v>
      </c>
      <c r="GZ1" s="312" t="s">
        <v>266</v>
      </c>
      <c r="HA1" s="312" t="s">
        <v>268</v>
      </c>
      <c r="HB1" s="312" t="s">
        <v>269</v>
      </c>
      <c r="HC1" s="312" t="s">
        <v>270</v>
      </c>
      <c r="HD1" s="312" t="s">
        <v>271</v>
      </c>
      <c r="HE1" s="312" t="s">
        <v>272</v>
      </c>
      <c r="HF1" s="312" t="s">
        <v>273</v>
      </c>
      <c r="HG1" s="312" t="s">
        <v>274</v>
      </c>
      <c r="HH1" s="312" t="s">
        <v>275</v>
      </c>
      <c r="HI1" s="312" t="s">
        <v>276</v>
      </c>
      <c r="HJ1" s="312" t="s">
        <v>277</v>
      </c>
      <c r="HK1" s="312" t="s">
        <v>278</v>
      </c>
      <c r="HL1" s="312" t="s">
        <v>279</v>
      </c>
      <c r="HM1" s="312" t="s">
        <v>280</v>
      </c>
      <c r="HN1" s="312" t="s">
        <v>281</v>
      </c>
      <c r="HO1" s="312" t="s">
        <v>282</v>
      </c>
      <c r="HP1" s="312" t="s">
        <v>242</v>
      </c>
      <c r="HQ1" s="312" t="s">
        <v>236</v>
      </c>
      <c r="HR1" s="313" t="s">
        <v>1216</v>
      </c>
      <c r="HS1" s="312" t="s">
        <v>241</v>
      </c>
      <c r="HT1" s="312" t="s">
        <v>243</v>
      </c>
      <c r="HU1" s="312" t="s">
        <v>244</v>
      </c>
      <c r="HV1" s="312" t="s">
        <v>255</v>
      </c>
      <c r="HW1" s="312" t="s">
        <v>256</v>
      </c>
      <c r="HX1" s="312" t="s">
        <v>257</v>
      </c>
      <c r="HY1" s="312" t="s">
        <v>261</v>
      </c>
      <c r="HZ1" s="312" t="s">
        <v>285</v>
      </c>
      <c r="IA1" s="312" t="s">
        <v>287</v>
      </c>
      <c r="IB1" s="312" t="s">
        <v>288</v>
      </c>
      <c r="IC1" s="312" t="s">
        <v>289</v>
      </c>
      <c r="ID1" s="312" t="s">
        <v>290</v>
      </c>
      <c r="IE1" s="312" t="s">
        <v>291</v>
      </c>
      <c r="IF1" s="312" t="s">
        <v>292</v>
      </c>
      <c r="IG1" s="312" t="s">
        <v>293</v>
      </c>
      <c r="IH1" s="312" t="s">
        <v>296</v>
      </c>
      <c r="II1" s="312" t="s">
        <v>295</v>
      </c>
      <c r="IJ1" s="312" t="s">
        <v>298</v>
      </c>
      <c r="IK1" s="312" t="s">
        <v>297</v>
      </c>
      <c r="IL1" s="312" t="s">
        <v>299</v>
      </c>
      <c r="IM1" s="312" t="s">
        <v>300</v>
      </c>
      <c r="IN1" s="312" t="s">
        <v>301</v>
      </c>
      <c r="IO1" s="312" t="s">
        <v>302</v>
      </c>
      <c r="IP1" s="312" t="s">
        <v>283</v>
      </c>
      <c r="IQ1" s="313" t="s">
        <v>419</v>
      </c>
      <c r="IR1" s="312" t="s">
        <v>286</v>
      </c>
      <c r="IS1" s="312" t="s">
        <v>294</v>
      </c>
      <c r="IT1" s="312" t="s">
        <v>303</v>
      </c>
      <c r="IU1" s="312" t="s">
        <v>304</v>
      </c>
      <c r="IV1" s="312" t="s">
        <v>305</v>
      </c>
      <c r="IW1" s="312" t="s">
        <v>306</v>
      </c>
      <c r="IX1" s="312" t="s">
        <v>307</v>
      </c>
      <c r="IY1" s="312" t="s">
        <v>308</v>
      </c>
      <c r="IZ1" s="312" t="s">
        <v>309</v>
      </c>
      <c r="JA1" s="312" t="s">
        <v>310</v>
      </c>
      <c r="JB1" s="312" t="s">
        <v>311</v>
      </c>
      <c r="JC1" s="312" t="s">
        <v>312</v>
      </c>
      <c r="JD1" s="312" t="s">
        <v>313</v>
      </c>
      <c r="JE1" s="312" t="s">
        <v>316</v>
      </c>
      <c r="JF1" s="312" t="s">
        <v>317</v>
      </c>
      <c r="JG1" s="312" t="s">
        <v>318</v>
      </c>
      <c r="JH1" s="312" t="s">
        <v>325</v>
      </c>
      <c r="JI1" s="312" t="s">
        <v>326</v>
      </c>
      <c r="JJ1" s="312" t="s">
        <v>327</v>
      </c>
      <c r="JK1" s="312" t="s">
        <v>328</v>
      </c>
      <c r="JL1" s="312" t="s">
        <v>329</v>
      </c>
      <c r="JM1" s="312" t="s">
        <v>330</v>
      </c>
      <c r="JN1" s="312" t="s">
        <v>319</v>
      </c>
      <c r="JO1" s="312" t="s">
        <v>314</v>
      </c>
      <c r="JP1" s="313" t="s">
        <v>423</v>
      </c>
      <c r="JQ1" s="312" t="s">
        <v>320</v>
      </c>
      <c r="JR1" s="312" t="s">
        <v>321</v>
      </c>
      <c r="JS1" s="312" t="s">
        <v>323</v>
      </c>
      <c r="JT1" s="312" t="s">
        <v>322</v>
      </c>
      <c r="JU1" s="312" t="s">
        <v>324</v>
      </c>
      <c r="JV1" s="312" t="s">
        <v>331</v>
      </c>
      <c r="JW1" s="312" t="s">
        <v>332</v>
      </c>
      <c r="JX1" s="312" t="s">
        <v>425</v>
      </c>
      <c r="JY1" s="312" t="s">
        <v>41</v>
      </c>
      <c r="JZ1" s="312" t="s">
        <v>43</v>
      </c>
      <c r="KA1" s="312" t="s">
        <v>426</v>
      </c>
      <c r="KB1" s="312" t="s">
        <v>48</v>
      </c>
      <c r="KC1" s="312" t="s">
        <v>50</v>
      </c>
      <c r="KD1" s="312" t="s">
        <v>35</v>
      </c>
      <c r="KE1" s="312" t="s">
        <v>36</v>
      </c>
      <c r="KF1" s="312" t="s">
        <v>38</v>
      </c>
      <c r="KG1" s="312" t="s">
        <v>40</v>
      </c>
      <c r="KH1" s="312" t="s">
        <v>212</v>
      </c>
      <c r="KI1" s="312" t="s">
        <v>213</v>
      </c>
      <c r="KJ1" s="312" t="s">
        <v>215</v>
      </c>
      <c r="KK1" s="312" t="s">
        <v>216</v>
      </c>
      <c r="KL1" s="313" t="s">
        <v>430</v>
      </c>
      <c r="KM1" s="312" t="s">
        <v>223</v>
      </c>
      <c r="KN1" s="312" t="s">
        <v>222</v>
      </c>
      <c r="KO1" s="313" t="s">
        <v>433</v>
      </c>
      <c r="KP1" s="312" t="s">
        <v>225</v>
      </c>
      <c r="KQ1" s="312" t="s">
        <v>226</v>
      </c>
      <c r="KR1" s="312" t="s">
        <v>227</v>
      </c>
    </row>
    <row r="2" spans="1:304" x14ac:dyDescent="0.25">
      <c r="A2">
        <v>1</v>
      </c>
      <c r="C2">
        <v>-11.446999999999999</v>
      </c>
      <c r="D2">
        <v>-1.6240000000000001</v>
      </c>
      <c r="E2">
        <v>1.774</v>
      </c>
      <c r="F2">
        <v>0.75</v>
      </c>
      <c r="G2">
        <v>-0.38500000000000001</v>
      </c>
      <c r="H2">
        <v>-4.101</v>
      </c>
      <c r="I2">
        <v>-11.198</v>
      </c>
      <c r="J2">
        <v>-10.669</v>
      </c>
      <c r="K2">
        <v>-2.0910000000000002</v>
      </c>
      <c r="L2">
        <v>-3.8519999999999999</v>
      </c>
      <c r="M2">
        <v>-4.83</v>
      </c>
      <c r="N2">
        <v>0.126</v>
      </c>
      <c r="O2">
        <v>-7.2830000000000004</v>
      </c>
      <c r="P2">
        <v>2.343</v>
      </c>
      <c r="Q2">
        <v>-9.9169999999999998</v>
      </c>
      <c r="R2">
        <v>0.60899999999999999</v>
      </c>
      <c r="S2">
        <v>-7.0469999999999997</v>
      </c>
      <c r="T2">
        <v>0.249</v>
      </c>
      <c r="U2">
        <v>-5.8540000000000001</v>
      </c>
      <c r="V2">
        <v>-1.2869999999999999</v>
      </c>
      <c r="W2">
        <v>-0.107</v>
      </c>
      <c r="X2">
        <v>1.8420000000000001</v>
      </c>
      <c r="Y2">
        <v>0.88900000000000001</v>
      </c>
      <c r="Z2">
        <v>-6.8570000000000002</v>
      </c>
      <c r="AA2">
        <v>2.415</v>
      </c>
      <c r="AB2">
        <v>1.6439999999999999</v>
      </c>
      <c r="AC2">
        <v>-5.5629999999999997</v>
      </c>
      <c r="AD2">
        <v>-2.9620000000000002</v>
      </c>
      <c r="AE2">
        <v>0.191</v>
      </c>
      <c r="AF2">
        <v>-4.3129999999999997</v>
      </c>
      <c r="AG2">
        <v>-8.2409999999999997</v>
      </c>
      <c r="AH2">
        <v>-10.082000000000001</v>
      </c>
      <c r="AI2">
        <v>-8.0990000000000002</v>
      </c>
      <c r="AJ2">
        <v>-3.3159999999999998</v>
      </c>
      <c r="AK2">
        <v>-0.17199999999999999</v>
      </c>
      <c r="AL2">
        <v>-0.86199999999999999</v>
      </c>
      <c r="AM2">
        <v>-0.54100000000000004</v>
      </c>
      <c r="AN2">
        <v>1.038</v>
      </c>
      <c r="AO2">
        <v>-0.83399999999999996</v>
      </c>
      <c r="AP2">
        <v>-5.1920000000000002</v>
      </c>
      <c r="AQ2">
        <v>0.73699999999999999</v>
      </c>
      <c r="AR2">
        <v>0.23</v>
      </c>
      <c r="AS2">
        <v>3.0430000000000001</v>
      </c>
      <c r="AT2">
        <v>-3.0489999999999999</v>
      </c>
      <c r="AU2">
        <v>-5.2320000000000002</v>
      </c>
      <c r="AV2">
        <v>-3.6339999999999999</v>
      </c>
      <c r="AW2">
        <v>-1.7050000000000001</v>
      </c>
      <c r="AX2">
        <v>-0.23200000000000001</v>
      </c>
      <c r="AY2">
        <v>-1.34</v>
      </c>
      <c r="AZ2">
        <v>-12.428000000000001</v>
      </c>
      <c r="BA2">
        <v>-3.0419999999999998</v>
      </c>
      <c r="BB2">
        <v>-6.9859999999999998</v>
      </c>
      <c r="BC2">
        <v>-6.8380000000000001</v>
      </c>
      <c r="BD2">
        <v>-0.66500000000000004</v>
      </c>
      <c r="BE2">
        <v>-0.377</v>
      </c>
      <c r="BF2">
        <v>-0.79</v>
      </c>
      <c r="BG2">
        <v>-8.0169999999999995</v>
      </c>
      <c r="BH2">
        <v>-11.459</v>
      </c>
      <c r="BI2">
        <v>-4.1059999999999999</v>
      </c>
      <c r="BJ2">
        <v>0.16400000000000001</v>
      </c>
      <c r="BK2">
        <v>-1.1919999999999999</v>
      </c>
      <c r="BL2">
        <v>1.335</v>
      </c>
      <c r="BM2">
        <v>-2.915</v>
      </c>
      <c r="BN2">
        <v>-4.056</v>
      </c>
      <c r="BO2">
        <v>-1.089</v>
      </c>
      <c r="BP2">
        <v>0.81499999999999995</v>
      </c>
      <c r="BQ2">
        <v>-5.343</v>
      </c>
      <c r="BR2">
        <v>-4.3449999999999998</v>
      </c>
      <c r="BS2">
        <v>-1.411</v>
      </c>
      <c r="BT2">
        <v>-9.3689999999999998</v>
      </c>
      <c r="BU2">
        <v>-6.8369999999999997</v>
      </c>
      <c r="BV2">
        <v>-5.3049999999999997</v>
      </c>
      <c r="BW2">
        <v>2.4649999999999999</v>
      </c>
      <c r="BX2">
        <v>-11.19</v>
      </c>
      <c r="BY2">
        <v>1.581</v>
      </c>
      <c r="BZ2">
        <v>0.65500000000000003</v>
      </c>
      <c r="CA2">
        <v>-3.4140000000000001</v>
      </c>
      <c r="CB2">
        <v>-5.7869999999999999</v>
      </c>
      <c r="CC2">
        <v>-1.952</v>
      </c>
      <c r="CD2">
        <v>-1.2999999999999999E-2</v>
      </c>
      <c r="CE2">
        <v>-1.9810000000000001</v>
      </c>
      <c r="CF2">
        <v>0.25700000000000001</v>
      </c>
      <c r="CG2">
        <v>-0.28599999999999998</v>
      </c>
      <c r="CH2">
        <v>-5.4</v>
      </c>
      <c r="CI2">
        <v>-3.4260000000000002</v>
      </c>
      <c r="CJ2">
        <v>1.5649999999999999</v>
      </c>
      <c r="CK2">
        <v>0.61399999999999999</v>
      </c>
      <c r="CL2">
        <v>2.5329999999999999</v>
      </c>
      <c r="CM2">
        <v>0.33700000000000002</v>
      </c>
      <c r="CN2">
        <v>0.55200000000000005</v>
      </c>
      <c r="CO2">
        <v>0.69399999999999995</v>
      </c>
      <c r="CP2">
        <v>-9.8789999999999996</v>
      </c>
      <c r="CQ2">
        <v>-9.3520000000000003</v>
      </c>
      <c r="CR2">
        <v>0.17100000000000001</v>
      </c>
      <c r="CS2">
        <v>1.1830000000000001</v>
      </c>
      <c r="CT2">
        <v>-10.051</v>
      </c>
      <c r="CU2">
        <v>0.504</v>
      </c>
      <c r="CV2">
        <v>-14.456</v>
      </c>
      <c r="CW2">
        <v>1.516</v>
      </c>
      <c r="CX2">
        <v>1.0249999999999999</v>
      </c>
      <c r="CY2">
        <v>-4.32</v>
      </c>
      <c r="CZ2">
        <v>1.3320000000000001</v>
      </c>
      <c r="DA2">
        <v>-4.4710000000000001</v>
      </c>
      <c r="DB2">
        <v>-4.4710000000000001</v>
      </c>
      <c r="DC2">
        <v>-4.6120000000000001</v>
      </c>
      <c r="DD2">
        <v>0.74399999999999999</v>
      </c>
      <c r="DE2">
        <v>-9.6349999999999998</v>
      </c>
      <c r="DF2">
        <v>0.91400000000000003</v>
      </c>
      <c r="DG2">
        <v>2.0139999999999998</v>
      </c>
      <c r="DH2">
        <v>-2.726</v>
      </c>
      <c r="DI2">
        <v>-5.4059999999999997</v>
      </c>
      <c r="DJ2">
        <v>-3.6219999999999999</v>
      </c>
      <c r="DK2">
        <v>2.181</v>
      </c>
      <c r="DL2">
        <v>-3.0960000000000001</v>
      </c>
      <c r="DM2">
        <v>-4.2809999999999997</v>
      </c>
      <c r="DN2">
        <v>-0.59399999999999997</v>
      </c>
      <c r="DO2">
        <v>-0.57999999999999996</v>
      </c>
      <c r="DP2">
        <v>-0.02</v>
      </c>
      <c r="DQ2">
        <v>-11.164</v>
      </c>
      <c r="DR2">
        <v>5.0999999999999997E-2</v>
      </c>
      <c r="DS2">
        <v>-0.77</v>
      </c>
      <c r="DT2">
        <v>1.2689999999999999</v>
      </c>
      <c r="DU2">
        <v>2.6379999999999999</v>
      </c>
      <c r="DV2">
        <v>-3.903</v>
      </c>
      <c r="DW2">
        <v>-4.2460000000000004</v>
      </c>
      <c r="DX2">
        <v>-7.0709999999999997</v>
      </c>
      <c r="DY2">
        <v>1.2</v>
      </c>
      <c r="DZ2">
        <v>-0.34799999999999998</v>
      </c>
      <c r="EA2">
        <v>0.28999999999999998</v>
      </c>
      <c r="EB2">
        <v>-0.33600000000000002</v>
      </c>
      <c r="EC2">
        <v>-2.0640000000000001</v>
      </c>
      <c r="ED2">
        <v>-4.2869999999999999</v>
      </c>
      <c r="EE2">
        <v>-1.488</v>
      </c>
      <c r="EF2">
        <v>-0.30199999999999999</v>
      </c>
      <c r="EG2">
        <v>-9.3019999999999996</v>
      </c>
      <c r="EH2">
        <v>2.4809999999999999</v>
      </c>
      <c r="EI2">
        <v>-5.9059999999999997</v>
      </c>
      <c r="EJ2">
        <v>-8.75</v>
      </c>
      <c r="EK2">
        <v>1.631</v>
      </c>
      <c r="EL2">
        <v>-9.6489999999999991</v>
      </c>
      <c r="EM2">
        <v>-0.24399999999999999</v>
      </c>
      <c r="EN2">
        <v>-1.621</v>
      </c>
      <c r="EO2">
        <v>2.548</v>
      </c>
      <c r="EP2">
        <v>-4.4580000000000002</v>
      </c>
      <c r="EQ2">
        <v>-10.81</v>
      </c>
      <c r="ER2">
        <v>1.5329999999999999</v>
      </c>
      <c r="ES2">
        <v>0.152</v>
      </c>
      <c r="ET2">
        <v>-1.9410000000000001</v>
      </c>
      <c r="EU2">
        <v>-3.3330000000000002</v>
      </c>
      <c r="EV2">
        <v>-8</v>
      </c>
      <c r="EW2">
        <v>1.2529999999999999</v>
      </c>
      <c r="EX2">
        <v>-2.125</v>
      </c>
      <c r="EY2">
        <v>-2.3940000000000001</v>
      </c>
      <c r="EZ2">
        <v>-1.31</v>
      </c>
      <c r="FA2">
        <v>0.10299999999999999</v>
      </c>
      <c r="FB2">
        <v>1.091</v>
      </c>
      <c r="FC2">
        <v>1.41</v>
      </c>
      <c r="FD2">
        <v>-1.7430000000000001</v>
      </c>
      <c r="FE2">
        <v>-4.3109999999999999</v>
      </c>
      <c r="FF2">
        <v>-6.16</v>
      </c>
      <c r="FG2">
        <v>-4.1550000000000002</v>
      </c>
      <c r="FH2">
        <v>-4.407</v>
      </c>
      <c r="FI2">
        <v>-1.292</v>
      </c>
      <c r="FJ2">
        <v>-2.2290000000000001</v>
      </c>
      <c r="FK2">
        <v>-9.9039999999999999</v>
      </c>
      <c r="FL2">
        <v>1.345</v>
      </c>
      <c r="FM2">
        <v>-1.6659999999999999</v>
      </c>
      <c r="FN2">
        <v>-2.605</v>
      </c>
      <c r="FO2">
        <v>-0.65600000000000003</v>
      </c>
      <c r="FP2">
        <v>-3.355</v>
      </c>
      <c r="FQ2">
        <v>-2.7210000000000001</v>
      </c>
      <c r="FR2">
        <v>-8.6999999999999994E-2</v>
      </c>
      <c r="FS2">
        <v>-8.4169999999999998</v>
      </c>
      <c r="FT2">
        <v>-1.4E-2</v>
      </c>
      <c r="FU2">
        <v>0.26</v>
      </c>
      <c r="FV2">
        <v>6.9000000000000006E-2</v>
      </c>
      <c r="FW2">
        <v>-0.67</v>
      </c>
      <c r="FX2">
        <v>-10.987</v>
      </c>
      <c r="FY2">
        <v>1.492</v>
      </c>
      <c r="FZ2">
        <v>-6.9850000000000003</v>
      </c>
      <c r="GA2">
        <v>-7.6440000000000001</v>
      </c>
      <c r="GB2">
        <v>-11.242000000000001</v>
      </c>
      <c r="GC2">
        <v>1.113</v>
      </c>
      <c r="GD2">
        <v>-3.9060000000000001</v>
      </c>
      <c r="GE2">
        <v>-4.367</v>
      </c>
      <c r="GF2">
        <v>0.127</v>
      </c>
      <c r="GG2">
        <v>-2.2120000000000002</v>
      </c>
      <c r="GH2">
        <v>-0.57899999999999996</v>
      </c>
      <c r="GI2">
        <v>2.262</v>
      </c>
      <c r="GJ2">
        <v>1.2250000000000001</v>
      </c>
      <c r="GK2">
        <v>-2.8620000000000001</v>
      </c>
      <c r="GL2">
        <v>-12.625</v>
      </c>
      <c r="GM2">
        <v>-4.9059999999999997</v>
      </c>
      <c r="GN2">
        <v>2.218</v>
      </c>
      <c r="GO2">
        <v>-3.653</v>
      </c>
      <c r="GP2">
        <v>-3.2949999999999999</v>
      </c>
      <c r="GQ2">
        <v>-5.5449999999999999</v>
      </c>
      <c r="GR2">
        <v>-7.4580000000000002</v>
      </c>
      <c r="GS2">
        <v>7.9000000000000001E-2</v>
      </c>
      <c r="GT2">
        <v>0.312</v>
      </c>
      <c r="GU2">
        <v>-11.571</v>
      </c>
      <c r="GV2">
        <v>-0.68</v>
      </c>
      <c r="GW2">
        <v>1.7310000000000001</v>
      </c>
      <c r="GX2">
        <v>-1.216</v>
      </c>
      <c r="GY2">
        <v>0.32500000000000001</v>
      </c>
      <c r="GZ2">
        <v>0.253</v>
      </c>
      <c r="HA2">
        <v>-4.5970000000000004</v>
      </c>
      <c r="HB2">
        <v>-4.7370000000000001</v>
      </c>
      <c r="HC2">
        <v>-9.7059999999999995</v>
      </c>
      <c r="HD2">
        <v>-0.43</v>
      </c>
      <c r="HE2">
        <v>-1.2949999999999999</v>
      </c>
      <c r="HF2">
        <v>-8.4169999999999998</v>
      </c>
      <c r="HG2">
        <v>0.27100000000000002</v>
      </c>
      <c r="HH2">
        <v>-3.38</v>
      </c>
      <c r="HI2">
        <v>-1.863</v>
      </c>
      <c r="HJ2">
        <v>-4.2969999999999997</v>
      </c>
      <c r="HK2">
        <v>1.806</v>
      </c>
      <c r="HL2">
        <v>1.484</v>
      </c>
      <c r="HM2">
        <v>-7.3639999999999999</v>
      </c>
      <c r="HN2">
        <v>-1.0580000000000001</v>
      </c>
      <c r="HO2">
        <v>-6.069</v>
      </c>
      <c r="HP2">
        <v>-0.78900000000000003</v>
      </c>
      <c r="HQ2">
        <v>0.23300000000000001</v>
      </c>
      <c r="HR2">
        <v>-6.335</v>
      </c>
      <c r="HS2">
        <v>-7.8339999999999996</v>
      </c>
      <c r="HT2">
        <v>-5.8840000000000003</v>
      </c>
      <c r="HU2">
        <v>-3.399</v>
      </c>
      <c r="HV2">
        <v>-1.8320000000000001</v>
      </c>
      <c r="HW2">
        <v>-1.2190000000000001</v>
      </c>
      <c r="HX2">
        <v>7.9000000000000001E-2</v>
      </c>
      <c r="HY2">
        <v>1.5649999999999999</v>
      </c>
      <c r="HZ2">
        <v>-0.20599999999999999</v>
      </c>
      <c r="IA2">
        <v>-3.3330000000000002</v>
      </c>
      <c r="IB2">
        <v>-3.367</v>
      </c>
      <c r="IC2">
        <v>-4.0010000000000003</v>
      </c>
      <c r="ID2">
        <v>-3.8260000000000001</v>
      </c>
      <c r="IE2">
        <v>-0.55400000000000005</v>
      </c>
      <c r="IF2">
        <v>1.2589999999999999</v>
      </c>
      <c r="IG2">
        <v>1.242</v>
      </c>
      <c r="IH2">
        <v>-6.3239999999999998</v>
      </c>
      <c r="II2">
        <v>1.996</v>
      </c>
      <c r="IJ2">
        <v>-2.9260000000000002</v>
      </c>
      <c r="IK2">
        <v>-3.3079999999999998</v>
      </c>
      <c r="IL2">
        <v>2.0430000000000001</v>
      </c>
      <c r="IM2">
        <v>-2.2930000000000001</v>
      </c>
      <c r="IN2">
        <v>-0.97199999999999998</v>
      </c>
      <c r="IO2">
        <v>-1.4750000000000001</v>
      </c>
      <c r="IP2">
        <v>-1.7999999999999999E-2</v>
      </c>
      <c r="IQ2">
        <v>-4.8</v>
      </c>
      <c r="IR2">
        <v>-4.0860000000000003</v>
      </c>
      <c r="IS2">
        <v>1.135</v>
      </c>
      <c r="IT2">
        <v>-1.8280000000000001</v>
      </c>
      <c r="IU2">
        <v>-0.27300000000000002</v>
      </c>
      <c r="IV2">
        <v>6.0999999999999999E-2</v>
      </c>
      <c r="IW2">
        <v>-4.3499999999999996</v>
      </c>
      <c r="IX2">
        <v>-2.085</v>
      </c>
      <c r="IY2">
        <v>-0.219</v>
      </c>
      <c r="IZ2">
        <v>-2.9220000000000002</v>
      </c>
      <c r="JA2">
        <v>-1.157</v>
      </c>
      <c r="JB2">
        <v>-3.516</v>
      </c>
      <c r="JC2">
        <v>1.294</v>
      </c>
      <c r="JD2">
        <v>-2.7240000000000002</v>
      </c>
      <c r="JE2">
        <v>-3.6619999999999999</v>
      </c>
      <c r="JF2">
        <v>1.145</v>
      </c>
      <c r="JG2">
        <v>0.36399999999999999</v>
      </c>
      <c r="JH2">
        <v>-3.2040000000000002</v>
      </c>
      <c r="JI2">
        <v>-9.1929999999999996</v>
      </c>
      <c r="JJ2">
        <v>0.40699999999999997</v>
      </c>
      <c r="JK2">
        <v>-8.6440000000000001</v>
      </c>
      <c r="JL2">
        <v>-5.3999999999999999E-2</v>
      </c>
      <c r="JM2">
        <v>-0.97299999999999998</v>
      </c>
      <c r="JN2">
        <v>-0.622</v>
      </c>
      <c r="JO2">
        <v>-2.569</v>
      </c>
      <c r="JP2">
        <v>-6.8319999999999999</v>
      </c>
      <c r="JQ2">
        <v>-1.365</v>
      </c>
      <c r="JR2">
        <v>-3.5539999999999998</v>
      </c>
      <c r="JS2">
        <v>0.435</v>
      </c>
      <c r="JT2">
        <v>-0.95499999999999996</v>
      </c>
      <c r="JU2">
        <v>-0.72399999999999998</v>
      </c>
      <c r="JV2">
        <v>-2.9390000000000001</v>
      </c>
      <c r="JW2">
        <v>1.9359999999999999</v>
      </c>
      <c r="JX2">
        <v>-2.1230000000000002</v>
      </c>
      <c r="JY2">
        <v>-4.5519999999999996</v>
      </c>
      <c r="JZ2">
        <v>-5.157</v>
      </c>
      <c r="KA2">
        <v>-1.0860000000000001</v>
      </c>
      <c r="KB2">
        <v>-2.794</v>
      </c>
      <c r="KC2">
        <v>-1.702</v>
      </c>
      <c r="KD2">
        <v>-0.245</v>
      </c>
      <c r="KE2">
        <v>-9.39</v>
      </c>
      <c r="KF2">
        <v>-11.276999999999999</v>
      </c>
      <c r="KG2">
        <v>2.4329999999999998</v>
      </c>
      <c r="KH2">
        <v>-0.18</v>
      </c>
      <c r="KI2">
        <v>-3.415</v>
      </c>
      <c r="KJ2">
        <v>-4.4279999999999999</v>
      </c>
      <c r="KK2">
        <v>0.24199999999999999</v>
      </c>
      <c r="KL2">
        <v>-5.07</v>
      </c>
      <c r="KM2">
        <v>-6.36</v>
      </c>
      <c r="KN2">
        <v>-2.1040000000000001</v>
      </c>
      <c r="KO2">
        <v>-2.8809999999999998</v>
      </c>
      <c r="KP2">
        <v>-4.5229999999999997</v>
      </c>
      <c r="KQ2">
        <v>-9.8309999999999995</v>
      </c>
      <c r="KR2">
        <v>-9.9030000000000005</v>
      </c>
    </row>
    <row r="3" spans="1:304" x14ac:dyDescent="0.25">
      <c r="A3">
        <v>2</v>
      </c>
      <c r="C3">
        <v>-13.058999999999999</v>
      </c>
      <c r="D3">
        <v>-2.0529999999999999</v>
      </c>
      <c r="E3">
        <v>-0.622</v>
      </c>
      <c r="F3">
        <v>-1.752</v>
      </c>
      <c r="G3">
        <v>-1.956</v>
      </c>
      <c r="H3">
        <v>-3.1659999999999999</v>
      </c>
      <c r="I3">
        <v>-12.885999999999999</v>
      </c>
      <c r="J3">
        <v>-9.2119999999999997</v>
      </c>
      <c r="K3">
        <v>-2.548</v>
      </c>
      <c r="L3">
        <v>-2.706</v>
      </c>
      <c r="M3">
        <v>-1.6060000000000001</v>
      </c>
      <c r="N3">
        <v>-2.198</v>
      </c>
      <c r="O3">
        <v>-7.0279999999999996</v>
      </c>
      <c r="P3">
        <v>-0.69899999999999995</v>
      </c>
      <c r="Q3">
        <v>-12.909000000000001</v>
      </c>
      <c r="R3">
        <v>-2.4119999999999999</v>
      </c>
      <c r="S3">
        <v>-4.0890000000000004</v>
      </c>
      <c r="T3">
        <v>-1.226</v>
      </c>
      <c r="U3">
        <v>-2.3820000000000001</v>
      </c>
      <c r="V3">
        <v>-1.863</v>
      </c>
      <c r="W3">
        <v>-0.72099999999999997</v>
      </c>
      <c r="X3">
        <v>-1.46</v>
      </c>
      <c r="Y3">
        <v>0.34799999999999998</v>
      </c>
      <c r="Z3">
        <v>-4.6360000000000001</v>
      </c>
      <c r="AA3">
        <v>-7.9000000000000001E-2</v>
      </c>
      <c r="AB3">
        <v>-0.56499999999999995</v>
      </c>
      <c r="AC3">
        <v>-3.0739999999999998</v>
      </c>
      <c r="AD3">
        <v>-2.0379999999999998</v>
      </c>
      <c r="AE3">
        <v>-0.47499999999999998</v>
      </c>
      <c r="AF3">
        <v>-2.891</v>
      </c>
      <c r="AG3">
        <v>-4.8330000000000002</v>
      </c>
      <c r="AH3">
        <v>-9.4329999999999998</v>
      </c>
      <c r="AI3">
        <v>-6.0590000000000002</v>
      </c>
      <c r="AJ3">
        <v>-1.4390000000000001</v>
      </c>
      <c r="AK3">
        <v>-0.48699999999999999</v>
      </c>
      <c r="AL3">
        <v>-2.8290000000000002</v>
      </c>
      <c r="AM3">
        <v>-2.7080000000000002</v>
      </c>
      <c r="AN3">
        <v>-0.871</v>
      </c>
      <c r="AO3">
        <v>-1.4730000000000001</v>
      </c>
      <c r="AP3">
        <v>-1.413</v>
      </c>
      <c r="AQ3">
        <v>-0.49399999999999999</v>
      </c>
      <c r="AR3">
        <v>-0.88600000000000001</v>
      </c>
      <c r="AS3">
        <v>1.02</v>
      </c>
      <c r="AT3">
        <v>-3.92</v>
      </c>
      <c r="AU3">
        <v>-4.7009999999999996</v>
      </c>
      <c r="AV3">
        <v>-1.538</v>
      </c>
      <c r="AW3">
        <v>-2.3690000000000002</v>
      </c>
      <c r="AX3">
        <v>-0.29399999999999998</v>
      </c>
      <c r="AY3">
        <v>-3.8079999999999998</v>
      </c>
      <c r="AZ3">
        <v>-6.7489999999999997</v>
      </c>
      <c r="BA3">
        <v>0.70699999999999996</v>
      </c>
      <c r="BB3">
        <v>-9.2070000000000007</v>
      </c>
      <c r="BC3">
        <v>-3.1589999999999998</v>
      </c>
      <c r="BD3">
        <v>-1.2410000000000001</v>
      </c>
      <c r="BE3">
        <v>-0.189</v>
      </c>
      <c r="BF3">
        <v>-2.7949999999999999</v>
      </c>
      <c r="BG3">
        <v>-10.176</v>
      </c>
      <c r="BH3">
        <v>-10.515000000000001</v>
      </c>
      <c r="BI3">
        <v>-1.8180000000000001</v>
      </c>
      <c r="BJ3">
        <v>-0.39200000000000002</v>
      </c>
      <c r="BK3">
        <v>-1.51</v>
      </c>
      <c r="BL3">
        <v>-0.92700000000000005</v>
      </c>
      <c r="BM3">
        <v>-3.71</v>
      </c>
      <c r="BN3">
        <v>-2.706</v>
      </c>
      <c r="BO3">
        <v>-1.9339999999999999</v>
      </c>
      <c r="BP3">
        <v>0.628</v>
      </c>
      <c r="BQ3">
        <v>-5.2919999999999998</v>
      </c>
      <c r="BR3">
        <v>-1.663</v>
      </c>
      <c r="BS3">
        <v>-0.30099999999999999</v>
      </c>
      <c r="BT3">
        <v>-11.521000000000001</v>
      </c>
      <c r="BU3">
        <v>-8.1329999999999991</v>
      </c>
      <c r="BV3">
        <v>-2.1309999999999998</v>
      </c>
      <c r="BW3">
        <v>-0.32900000000000001</v>
      </c>
      <c r="BX3">
        <v>-8.8160000000000007</v>
      </c>
      <c r="BY3">
        <v>0.50800000000000001</v>
      </c>
      <c r="BZ3">
        <v>-1.6850000000000001</v>
      </c>
      <c r="CA3">
        <v>-0.495</v>
      </c>
      <c r="CB3">
        <v>-2.6680000000000001</v>
      </c>
      <c r="CC3">
        <v>-2.2120000000000002</v>
      </c>
      <c r="CD3">
        <v>-0.58299999999999996</v>
      </c>
      <c r="CE3">
        <v>-4.7679999999999998</v>
      </c>
      <c r="CF3">
        <v>-3.2589999999999999</v>
      </c>
      <c r="CG3">
        <v>-0.93100000000000005</v>
      </c>
      <c r="CH3">
        <v>-3.6030000000000002</v>
      </c>
      <c r="CI3">
        <v>-2.831</v>
      </c>
      <c r="CJ3">
        <v>-0.751</v>
      </c>
      <c r="CK3">
        <v>-1.4730000000000001</v>
      </c>
      <c r="CL3">
        <v>4.7E-2</v>
      </c>
      <c r="CM3">
        <v>-2.0990000000000002</v>
      </c>
      <c r="CN3">
        <v>-1.468</v>
      </c>
      <c r="CO3">
        <v>-1.377</v>
      </c>
      <c r="CP3">
        <v>-11.353999999999999</v>
      </c>
      <c r="CQ3">
        <v>-8.8010000000000002</v>
      </c>
      <c r="CR3">
        <v>-1.8440000000000001</v>
      </c>
      <c r="CS3">
        <v>-1.0820000000000001</v>
      </c>
      <c r="CT3">
        <v>-11.162000000000001</v>
      </c>
      <c r="CU3">
        <v>-0.94</v>
      </c>
      <c r="CV3">
        <v>-12.564</v>
      </c>
      <c r="CW3">
        <v>-0.47099999999999997</v>
      </c>
      <c r="CX3">
        <v>0.246</v>
      </c>
      <c r="CY3">
        <v>-3.1920000000000002</v>
      </c>
      <c r="CZ3">
        <v>0.45700000000000002</v>
      </c>
      <c r="DA3">
        <v>-3.081</v>
      </c>
      <c r="DB3">
        <v>-3.081</v>
      </c>
      <c r="DC3">
        <v>-2.2490000000000001</v>
      </c>
      <c r="DD3">
        <v>-2.4260000000000002</v>
      </c>
      <c r="DE3">
        <v>-11.141999999999999</v>
      </c>
      <c r="DF3">
        <v>0.86599999999999999</v>
      </c>
      <c r="DG3">
        <v>-1.115</v>
      </c>
      <c r="DH3">
        <v>-2.61</v>
      </c>
      <c r="DI3">
        <v>-3.7330000000000001</v>
      </c>
      <c r="DJ3">
        <v>-4.6269999999999998</v>
      </c>
      <c r="DK3">
        <v>-1.012</v>
      </c>
      <c r="DL3">
        <v>-3.3969999999999998</v>
      </c>
      <c r="DM3">
        <v>-2.6429999999999998</v>
      </c>
      <c r="DN3">
        <v>0.626</v>
      </c>
      <c r="DO3">
        <v>-1.7290000000000001</v>
      </c>
      <c r="DP3">
        <v>-0.52200000000000002</v>
      </c>
      <c r="DQ3">
        <v>-14.409000000000001</v>
      </c>
      <c r="DR3">
        <v>-2.8069999999999999</v>
      </c>
      <c r="DS3">
        <v>-1.82</v>
      </c>
      <c r="DT3">
        <v>-0.78800000000000003</v>
      </c>
      <c r="DU3">
        <v>-7.6999999999999999E-2</v>
      </c>
      <c r="DV3">
        <v>-2.7730000000000001</v>
      </c>
      <c r="DW3">
        <v>-2.8519999999999999</v>
      </c>
      <c r="DX3">
        <v>-4.2690000000000001</v>
      </c>
      <c r="DY3">
        <v>-1.03</v>
      </c>
      <c r="DZ3">
        <v>-0.89200000000000002</v>
      </c>
      <c r="EA3">
        <v>-0.46100000000000002</v>
      </c>
      <c r="EB3">
        <v>-0.42799999999999999</v>
      </c>
      <c r="EC3">
        <v>-1.1890000000000001</v>
      </c>
      <c r="ED3">
        <v>-0.85599999999999998</v>
      </c>
      <c r="EE3">
        <v>-2.2589999999999999</v>
      </c>
      <c r="EF3">
        <v>-1.806</v>
      </c>
      <c r="EG3">
        <v>-5.14</v>
      </c>
      <c r="EH3">
        <v>-5.7000000000000002E-2</v>
      </c>
      <c r="EI3">
        <v>-2.6739999999999999</v>
      </c>
      <c r="EJ3">
        <v>-7.3470000000000004</v>
      </c>
      <c r="EK3">
        <v>-0.38100000000000001</v>
      </c>
      <c r="EL3">
        <v>-8.7430000000000003</v>
      </c>
      <c r="EM3">
        <v>0.91200000000000003</v>
      </c>
      <c r="EN3">
        <v>-2.032</v>
      </c>
      <c r="EO3">
        <v>0.13100000000000001</v>
      </c>
      <c r="EP3">
        <v>-5.0250000000000004</v>
      </c>
      <c r="EQ3">
        <v>-8.7560000000000002</v>
      </c>
      <c r="ER3">
        <v>-0.47599999999999998</v>
      </c>
      <c r="ES3">
        <v>-1.645</v>
      </c>
      <c r="ET3">
        <v>-1.4610000000000001</v>
      </c>
      <c r="EU3">
        <v>-2.6179999999999999</v>
      </c>
      <c r="EV3">
        <v>-3.99</v>
      </c>
      <c r="EW3">
        <v>-2.31</v>
      </c>
      <c r="EX3">
        <v>1.466</v>
      </c>
      <c r="EY3">
        <v>-2.9630000000000001</v>
      </c>
      <c r="EZ3">
        <v>-1.141</v>
      </c>
      <c r="FA3">
        <v>-0.51100000000000001</v>
      </c>
      <c r="FB3">
        <v>-1.347</v>
      </c>
      <c r="FC3">
        <v>0.53900000000000003</v>
      </c>
      <c r="FD3">
        <v>-0.39200000000000002</v>
      </c>
      <c r="FE3">
        <v>-3.0510000000000002</v>
      </c>
      <c r="FF3">
        <v>-2.8679999999999999</v>
      </c>
      <c r="FG3">
        <v>-4.6509999999999998</v>
      </c>
      <c r="FH3">
        <v>-4.8899999999999997</v>
      </c>
      <c r="FI3">
        <v>-2.4329999999999998</v>
      </c>
      <c r="FJ3">
        <v>-2.6040000000000001</v>
      </c>
      <c r="FK3">
        <v>-8.2769999999999992</v>
      </c>
      <c r="FL3">
        <v>-1.514</v>
      </c>
      <c r="FM3">
        <v>-0.436</v>
      </c>
      <c r="FN3">
        <v>0.497</v>
      </c>
      <c r="FO3">
        <v>-0.89400000000000002</v>
      </c>
      <c r="FP3">
        <v>-1.44</v>
      </c>
      <c r="FQ3">
        <v>-2.9409999999999998</v>
      </c>
      <c r="FR3">
        <v>-0.311</v>
      </c>
      <c r="FS3">
        <v>-6.9029999999999996</v>
      </c>
      <c r="FT3">
        <v>0.499</v>
      </c>
      <c r="FU3">
        <v>-0.56799999999999995</v>
      </c>
      <c r="FV3">
        <v>-1.482</v>
      </c>
      <c r="FW3">
        <v>2.0110000000000001</v>
      </c>
      <c r="FX3">
        <v>-13.25</v>
      </c>
      <c r="FY3">
        <v>-0.86399999999999999</v>
      </c>
      <c r="FZ3">
        <v>-10.409000000000001</v>
      </c>
      <c r="GA3">
        <v>-13.991</v>
      </c>
      <c r="GB3">
        <v>-7.6459999999999999</v>
      </c>
      <c r="GC3">
        <v>0.373</v>
      </c>
      <c r="GD3">
        <v>-4.1970000000000001</v>
      </c>
      <c r="GE3">
        <v>-2.2120000000000002</v>
      </c>
      <c r="GF3">
        <v>-0.46600000000000003</v>
      </c>
      <c r="GG3">
        <v>-2.5169999999999999</v>
      </c>
      <c r="GH3">
        <v>-2.4</v>
      </c>
      <c r="GI3">
        <v>2.5999999999999999E-2</v>
      </c>
      <c r="GJ3">
        <v>-0.109</v>
      </c>
      <c r="GK3">
        <v>-1.831</v>
      </c>
      <c r="GL3">
        <v>-8.9499999999999993</v>
      </c>
      <c r="GM3">
        <v>-1.208</v>
      </c>
      <c r="GN3">
        <v>-0.73299999999999998</v>
      </c>
      <c r="GO3">
        <v>-1.325</v>
      </c>
      <c r="GP3">
        <v>-1.0720000000000001</v>
      </c>
      <c r="GQ3">
        <v>-2.4990000000000001</v>
      </c>
      <c r="GR3">
        <v>-8.3030000000000008</v>
      </c>
      <c r="GS3">
        <v>-1.8919999999999999</v>
      </c>
      <c r="GT3">
        <v>-0.121</v>
      </c>
      <c r="GU3">
        <v>-7.2930000000000001</v>
      </c>
      <c r="GV3">
        <v>1.0669999999999999</v>
      </c>
      <c r="GW3">
        <v>-0.31</v>
      </c>
      <c r="GX3">
        <v>0.46</v>
      </c>
      <c r="GY3">
        <v>-1.883</v>
      </c>
      <c r="GZ3">
        <v>-0.33300000000000002</v>
      </c>
      <c r="HA3">
        <v>-3.673</v>
      </c>
      <c r="HB3">
        <v>-5.93</v>
      </c>
      <c r="HC3">
        <v>-7.3259999999999996</v>
      </c>
      <c r="HD3">
        <v>-2.774</v>
      </c>
      <c r="HE3">
        <v>-0.126</v>
      </c>
      <c r="HF3">
        <v>-6.7569999999999997</v>
      </c>
      <c r="HG3">
        <v>-1.9119999999999999</v>
      </c>
      <c r="HH3">
        <v>-3.153</v>
      </c>
      <c r="HI3">
        <v>-2.843</v>
      </c>
      <c r="HJ3">
        <v>-1.357</v>
      </c>
      <c r="HK3">
        <v>-0.68200000000000005</v>
      </c>
      <c r="HL3">
        <v>-0.59199999999999997</v>
      </c>
      <c r="HM3">
        <v>-7.7270000000000003</v>
      </c>
      <c r="HN3">
        <v>-2.2599999999999998</v>
      </c>
      <c r="HO3">
        <v>-7.4969999999999999</v>
      </c>
      <c r="HP3">
        <v>-2.7549999999999999</v>
      </c>
      <c r="HQ3">
        <v>-2.048</v>
      </c>
      <c r="HR3">
        <v>-7.9050000000000002</v>
      </c>
      <c r="HS3">
        <v>-6.2729999999999997</v>
      </c>
      <c r="HT3">
        <v>-2.6909999999999998</v>
      </c>
      <c r="HU3">
        <v>-1.458</v>
      </c>
      <c r="HV3">
        <v>-2.2170000000000001</v>
      </c>
      <c r="HW3">
        <v>-2.2069999999999999</v>
      </c>
      <c r="HX3">
        <v>-0.63900000000000001</v>
      </c>
      <c r="HY3">
        <v>0.65500000000000003</v>
      </c>
      <c r="HZ3">
        <v>-1.1990000000000001</v>
      </c>
      <c r="IA3">
        <v>-2</v>
      </c>
      <c r="IB3">
        <v>-0.93700000000000006</v>
      </c>
      <c r="IC3">
        <v>-1.7310000000000001</v>
      </c>
      <c r="ID3">
        <v>-5.7240000000000002</v>
      </c>
      <c r="IE3">
        <v>-2.3130000000000002</v>
      </c>
      <c r="IF3">
        <v>0.96699999999999997</v>
      </c>
      <c r="IG3">
        <v>-0.82599999999999996</v>
      </c>
      <c r="IH3">
        <v>-5.0330000000000004</v>
      </c>
      <c r="II3">
        <v>-1.05</v>
      </c>
      <c r="IJ3">
        <v>-3.1579999999999999</v>
      </c>
      <c r="IK3">
        <v>-2.7669999999999999</v>
      </c>
      <c r="IL3">
        <v>4.1000000000000002E-2</v>
      </c>
      <c r="IM3">
        <v>-1.1379999999999999</v>
      </c>
      <c r="IN3">
        <v>-1.88</v>
      </c>
      <c r="IO3">
        <v>-1.976</v>
      </c>
      <c r="IP3">
        <v>-0.48699999999999999</v>
      </c>
      <c r="IQ3">
        <v>-8.6660000000000004</v>
      </c>
      <c r="IR3">
        <v>-2.254</v>
      </c>
      <c r="IS3">
        <v>-0.83399999999999996</v>
      </c>
      <c r="IT3">
        <v>-0.83199999999999996</v>
      </c>
      <c r="IU3">
        <v>-1.5609999999999999</v>
      </c>
      <c r="IV3">
        <v>-3.5419999999999998</v>
      </c>
      <c r="IW3">
        <v>-6.9640000000000004</v>
      </c>
      <c r="IX3">
        <v>-2.1949999999999998</v>
      </c>
      <c r="IY3">
        <v>-2.085</v>
      </c>
      <c r="IZ3">
        <v>-1.1439999999999999</v>
      </c>
      <c r="JA3">
        <v>-1.0169999999999999</v>
      </c>
      <c r="JB3">
        <v>-1.504</v>
      </c>
      <c r="JC3">
        <v>-0.56100000000000005</v>
      </c>
      <c r="JD3">
        <v>-2.2570000000000001</v>
      </c>
      <c r="JE3">
        <v>-6.3019999999999996</v>
      </c>
      <c r="JF3">
        <v>-1.5309999999999999</v>
      </c>
      <c r="JG3">
        <v>-1.014</v>
      </c>
      <c r="JH3">
        <v>-3.6389999999999998</v>
      </c>
      <c r="JI3">
        <v>-10.247999999999999</v>
      </c>
      <c r="JJ3">
        <v>-3.597</v>
      </c>
      <c r="JK3">
        <v>-7.4359999999999999</v>
      </c>
      <c r="JL3">
        <v>-2.7440000000000002</v>
      </c>
      <c r="JM3">
        <v>-1.635</v>
      </c>
      <c r="JN3">
        <v>-1.534</v>
      </c>
      <c r="JO3">
        <v>-1.2</v>
      </c>
      <c r="JP3">
        <v>-5.8879999999999999</v>
      </c>
      <c r="JQ3">
        <v>-1.748</v>
      </c>
      <c r="JR3">
        <v>-1.8220000000000001</v>
      </c>
      <c r="JS3">
        <v>-1.3380000000000001</v>
      </c>
      <c r="JT3">
        <v>-3.0150000000000001</v>
      </c>
      <c r="JU3">
        <v>-2.3380000000000001</v>
      </c>
      <c r="JV3">
        <v>-1.1930000000000001</v>
      </c>
      <c r="JW3">
        <v>0.46500000000000002</v>
      </c>
      <c r="JX3">
        <v>-1.0840000000000001</v>
      </c>
      <c r="JY3">
        <v>-4.4610000000000003</v>
      </c>
      <c r="JZ3">
        <v>-6.3860000000000001</v>
      </c>
      <c r="KA3">
        <v>-2.516</v>
      </c>
      <c r="KB3">
        <v>-3.2509999999999999</v>
      </c>
      <c r="KC3">
        <v>-2.5880000000000001</v>
      </c>
      <c r="KD3">
        <v>-0.88700000000000001</v>
      </c>
      <c r="KE3">
        <v>-5.577</v>
      </c>
      <c r="KF3">
        <v>-9.4469999999999992</v>
      </c>
      <c r="KG3">
        <v>-0.78600000000000003</v>
      </c>
      <c r="KH3">
        <v>1.246</v>
      </c>
      <c r="KI3">
        <v>-2.1040000000000001</v>
      </c>
      <c r="KJ3">
        <v>-2.633</v>
      </c>
      <c r="KK3">
        <v>-1.379</v>
      </c>
      <c r="KL3">
        <v>-4.9729999999999999</v>
      </c>
      <c r="KM3">
        <v>-6.625</v>
      </c>
      <c r="KN3">
        <v>-2.1320000000000001</v>
      </c>
      <c r="KO3">
        <v>-1.2769999999999999</v>
      </c>
      <c r="KP3">
        <v>-6.5990000000000002</v>
      </c>
      <c r="KQ3">
        <v>-8.0760000000000005</v>
      </c>
      <c r="KR3">
        <v>-10.702999999999999</v>
      </c>
    </row>
    <row r="4" spans="1:304" x14ac:dyDescent="0.25">
      <c r="A4">
        <v>3</v>
      </c>
      <c r="C4">
        <v>-8.5739999999999998</v>
      </c>
      <c r="D4">
        <v>-1.171</v>
      </c>
      <c r="E4">
        <v>2.0630000000000002</v>
      </c>
      <c r="F4">
        <v>1.1319999999999999</v>
      </c>
      <c r="G4">
        <v>0.215</v>
      </c>
      <c r="H4">
        <v>-0.54900000000000004</v>
      </c>
      <c r="I4">
        <v>-6.5069999999999997</v>
      </c>
      <c r="J4">
        <v>-7.57</v>
      </c>
      <c r="K4">
        <v>0.85799999999999998</v>
      </c>
      <c r="L4">
        <v>0.66900000000000004</v>
      </c>
      <c r="M4">
        <v>-1.137</v>
      </c>
      <c r="N4">
        <v>0.47199999999999998</v>
      </c>
      <c r="O4">
        <v>-4.7670000000000003</v>
      </c>
      <c r="P4">
        <v>2.3250000000000002</v>
      </c>
      <c r="Q4">
        <v>-3.7330000000000001</v>
      </c>
      <c r="R4">
        <v>1.5429999999999999</v>
      </c>
      <c r="S4">
        <v>-1.885</v>
      </c>
      <c r="T4">
        <v>2.4870000000000001</v>
      </c>
      <c r="U4">
        <v>1.5580000000000001</v>
      </c>
      <c r="V4">
        <v>0.86899999999999999</v>
      </c>
      <c r="W4">
        <v>-1.1759999999999999</v>
      </c>
      <c r="X4">
        <v>3.06</v>
      </c>
      <c r="Y4">
        <v>2.944</v>
      </c>
      <c r="Z4">
        <v>-3.706</v>
      </c>
      <c r="AA4">
        <v>3.1989999999999998</v>
      </c>
      <c r="AB4">
        <v>2.0779999999999998</v>
      </c>
      <c r="AC4">
        <v>0.121</v>
      </c>
      <c r="AD4">
        <v>0.45200000000000001</v>
      </c>
      <c r="AE4">
        <v>-0.91900000000000004</v>
      </c>
      <c r="AF4">
        <v>0.20599999999999999</v>
      </c>
      <c r="AG4">
        <v>-2.423</v>
      </c>
      <c r="AH4">
        <v>-5.577</v>
      </c>
      <c r="AI4">
        <v>-2.5569999999999999</v>
      </c>
      <c r="AJ4">
        <v>0.70799999999999996</v>
      </c>
      <c r="AK4">
        <v>-1.0349999999999999</v>
      </c>
      <c r="AL4">
        <v>-0.40699999999999997</v>
      </c>
      <c r="AM4">
        <v>1.8740000000000001</v>
      </c>
      <c r="AN4">
        <v>2.9630000000000001</v>
      </c>
      <c r="AO4">
        <v>1.4810000000000001</v>
      </c>
      <c r="AP4">
        <v>-0.99399999999999999</v>
      </c>
      <c r="AQ4">
        <v>2.46</v>
      </c>
      <c r="AR4">
        <v>0.39300000000000002</v>
      </c>
      <c r="AS4">
        <v>3.0059999999999998</v>
      </c>
      <c r="AT4">
        <v>1.4079999999999999</v>
      </c>
      <c r="AU4">
        <v>-0.52700000000000002</v>
      </c>
      <c r="AV4">
        <v>-1.966</v>
      </c>
      <c r="AW4">
        <v>1.4330000000000001</v>
      </c>
      <c r="AX4">
        <v>-1.772</v>
      </c>
      <c r="AY4">
        <v>1.0640000000000001</v>
      </c>
      <c r="AZ4">
        <v>-6.1289999999999996</v>
      </c>
      <c r="BA4">
        <v>1.0880000000000001</v>
      </c>
      <c r="BB4">
        <v>-2.569</v>
      </c>
      <c r="BC4">
        <v>-1.8140000000000001</v>
      </c>
      <c r="BD4">
        <v>1.105</v>
      </c>
      <c r="BE4">
        <v>-0.78</v>
      </c>
      <c r="BF4">
        <v>1.655</v>
      </c>
      <c r="BG4">
        <v>-6.9569999999999999</v>
      </c>
      <c r="BH4">
        <v>-6.9039999999999999</v>
      </c>
      <c r="BI4">
        <v>-0.73199999999999998</v>
      </c>
      <c r="BJ4">
        <v>2.8479999999999999</v>
      </c>
      <c r="BK4">
        <v>1.145</v>
      </c>
      <c r="BL4">
        <v>-1.0820000000000001</v>
      </c>
      <c r="BM4">
        <v>-0.378</v>
      </c>
      <c r="BN4">
        <v>0.91</v>
      </c>
      <c r="BO4">
        <v>-1.038</v>
      </c>
      <c r="BP4">
        <v>1.365</v>
      </c>
      <c r="BQ4">
        <v>-4.6230000000000002</v>
      </c>
      <c r="BR4">
        <v>0.113</v>
      </c>
      <c r="BS4">
        <v>-0.86</v>
      </c>
      <c r="BT4">
        <v>-3.4950000000000001</v>
      </c>
      <c r="BU4">
        <v>-5.2560000000000002</v>
      </c>
      <c r="BV4">
        <v>-1.37</v>
      </c>
      <c r="BW4">
        <v>2.556</v>
      </c>
      <c r="BX4">
        <v>-6.6109999999999998</v>
      </c>
      <c r="BY4">
        <v>1.24</v>
      </c>
      <c r="BZ4">
        <v>1.0980000000000001</v>
      </c>
      <c r="CA4">
        <v>1.458</v>
      </c>
      <c r="CB4">
        <v>-1.5660000000000001</v>
      </c>
      <c r="CC4">
        <v>1.8320000000000001</v>
      </c>
      <c r="CD4">
        <v>-1.054</v>
      </c>
      <c r="CE4">
        <v>-2.1030000000000002</v>
      </c>
      <c r="CF4">
        <v>1.3460000000000001</v>
      </c>
      <c r="CG4">
        <v>1.4610000000000001</v>
      </c>
      <c r="CH4">
        <v>-0.49</v>
      </c>
      <c r="CI4">
        <v>-2.7589999999999999</v>
      </c>
      <c r="CJ4">
        <v>1.996</v>
      </c>
      <c r="CK4">
        <v>2.6549999999999998</v>
      </c>
      <c r="CL4">
        <v>3.1669999999999998</v>
      </c>
      <c r="CM4">
        <v>1.798</v>
      </c>
      <c r="CN4">
        <v>2.6419999999999999</v>
      </c>
      <c r="CO4">
        <v>2.7719999999999998</v>
      </c>
      <c r="CP4">
        <v>-6.1260000000000003</v>
      </c>
      <c r="CQ4">
        <v>-2.87</v>
      </c>
      <c r="CR4">
        <v>-0.55200000000000005</v>
      </c>
      <c r="CS4">
        <v>-0.94099999999999995</v>
      </c>
      <c r="CT4">
        <v>-3.9510000000000001</v>
      </c>
      <c r="CU4">
        <v>2.4700000000000002</v>
      </c>
      <c r="CV4">
        <v>-6.7469999999999999</v>
      </c>
      <c r="CW4">
        <v>-1.397</v>
      </c>
      <c r="CX4">
        <v>7.0000000000000007E-2</v>
      </c>
      <c r="CY4">
        <v>4.2000000000000003E-2</v>
      </c>
      <c r="CZ4">
        <v>0.314</v>
      </c>
      <c r="DA4">
        <v>0.24399999999999999</v>
      </c>
      <c r="DB4">
        <v>0.24399999999999999</v>
      </c>
      <c r="DC4">
        <v>-0.42199999999999999</v>
      </c>
      <c r="DD4">
        <v>1.8149999999999999</v>
      </c>
      <c r="DE4">
        <v>-8.0990000000000002</v>
      </c>
      <c r="DF4">
        <v>0.84499999999999997</v>
      </c>
      <c r="DG4">
        <v>2.7930000000000001</v>
      </c>
      <c r="DH4">
        <v>-0.94199999999999995</v>
      </c>
      <c r="DI4">
        <v>1.1080000000000001</v>
      </c>
      <c r="DJ4">
        <v>-4.0919999999999996</v>
      </c>
      <c r="DK4">
        <v>3.5590000000000002</v>
      </c>
      <c r="DL4">
        <v>0.253</v>
      </c>
      <c r="DM4">
        <v>1.1240000000000001</v>
      </c>
      <c r="DN4">
        <v>2.4239999999999999</v>
      </c>
      <c r="DO4">
        <v>0.79700000000000004</v>
      </c>
      <c r="DP4">
        <v>2.2850000000000001</v>
      </c>
      <c r="DQ4">
        <v>-6.7809999999999997</v>
      </c>
      <c r="DR4">
        <v>1.351</v>
      </c>
      <c r="DS4">
        <v>0.70199999999999996</v>
      </c>
      <c r="DT4">
        <v>2.9740000000000002</v>
      </c>
      <c r="DU4">
        <v>3.0779999999999998</v>
      </c>
      <c r="DV4">
        <v>0.80300000000000005</v>
      </c>
      <c r="DW4">
        <v>0.92700000000000005</v>
      </c>
      <c r="DX4">
        <v>-0.76900000000000002</v>
      </c>
      <c r="DY4">
        <v>1.7130000000000001</v>
      </c>
      <c r="DZ4">
        <v>-1.498</v>
      </c>
      <c r="EA4">
        <v>-0.38</v>
      </c>
      <c r="EB4">
        <v>2.387</v>
      </c>
      <c r="EC4">
        <v>1.766</v>
      </c>
      <c r="ED4">
        <v>1.6879999999999999</v>
      </c>
      <c r="EE4">
        <v>1.7789999999999999</v>
      </c>
      <c r="EF4">
        <v>2.52</v>
      </c>
      <c r="EG4">
        <v>-2.9</v>
      </c>
      <c r="EH4">
        <v>3.0190000000000001</v>
      </c>
      <c r="EI4">
        <v>1.1870000000000001</v>
      </c>
      <c r="EJ4">
        <v>-3.1080000000000001</v>
      </c>
      <c r="EK4">
        <v>3.1269999999999998</v>
      </c>
      <c r="EL4">
        <v>-3.7629999999999999</v>
      </c>
      <c r="EM4">
        <v>1.992</v>
      </c>
      <c r="EN4">
        <v>0.80700000000000005</v>
      </c>
      <c r="EO4">
        <v>3.1920000000000002</v>
      </c>
      <c r="EP4">
        <v>-1.925</v>
      </c>
      <c r="EQ4">
        <v>-7.0129999999999999</v>
      </c>
      <c r="ER4">
        <v>2.1469999999999998</v>
      </c>
      <c r="ES4">
        <v>2.3340000000000001</v>
      </c>
      <c r="ET4">
        <v>1.53</v>
      </c>
      <c r="EU4">
        <v>-1.28</v>
      </c>
      <c r="EV4">
        <v>-0.96799999999999997</v>
      </c>
      <c r="EW4">
        <v>1.06</v>
      </c>
      <c r="EX4">
        <v>1.411</v>
      </c>
      <c r="EY4">
        <v>0.38500000000000001</v>
      </c>
      <c r="EZ4">
        <v>-1.2190000000000001</v>
      </c>
      <c r="FA4">
        <v>2.7480000000000002</v>
      </c>
      <c r="FB4">
        <v>2.4820000000000002</v>
      </c>
      <c r="FC4">
        <v>0.41899999999999998</v>
      </c>
      <c r="FD4">
        <v>-0.497</v>
      </c>
      <c r="FE4">
        <v>0.214</v>
      </c>
      <c r="FF4">
        <v>-1.427</v>
      </c>
      <c r="FG4">
        <v>-2.8079999999999998</v>
      </c>
      <c r="FH4">
        <v>-3.4710000000000001</v>
      </c>
      <c r="FI4">
        <v>1.484</v>
      </c>
      <c r="FJ4">
        <v>0.54900000000000004</v>
      </c>
      <c r="FK4">
        <v>-6.4870000000000001</v>
      </c>
      <c r="FL4">
        <v>1.881</v>
      </c>
      <c r="FM4">
        <v>-0.96199999999999997</v>
      </c>
      <c r="FN4">
        <v>1.238</v>
      </c>
      <c r="FO4">
        <v>-0.95899999999999996</v>
      </c>
      <c r="FP4">
        <v>0.26400000000000001</v>
      </c>
      <c r="FQ4">
        <v>-1.25</v>
      </c>
      <c r="FR4">
        <v>2.302</v>
      </c>
      <c r="FS4">
        <v>-1.054</v>
      </c>
      <c r="FT4">
        <v>1.8540000000000001</v>
      </c>
      <c r="FU4">
        <v>1.954</v>
      </c>
      <c r="FV4">
        <v>2.1309999999999998</v>
      </c>
      <c r="FW4">
        <v>-0.85399999999999998</v>
      </c>
      <c r="FX4">
        <v>-4.4770000000000003</v>
      </c>
      <c r="FY4">
        <v>1.921</v>
      </c>
      <c r="FZ4">
        <v>-2.1779999999999999</v>
      </c>
      <c r="GA4">
        <v>-7.9</v>
      </c>
      <c r="GB4">
        <v>-1.2010000000000001</v>
      </c>
      <c r="GC4">
        <v>0.99399999999999999</v>
      </c>
      <c r="GD4">
        <v>-1.173</v>
      </c>
      <c r="GE4">
        <v>0.76800000000000002</v>
      </c>
      <c r="GF4">
        <v>-1.163</v>
      </c>
      <c r="GG4">
        <v>-1.2030000000000001</v>
      </c>
      <c r="GH4">
        <v>-0.66100000000000003</v>
      </c>
      <c r="GI4">
        <v>1.1830000000000001</v>
      </c>
      <c r="GJ4">
        <v>2.7549999999999999</v>
      </c>
      <c r="GK4">
        <v>2.286</v>
      </c>
      <c r="GL4">
        <v>-1.837</v>
      </c>
      <c r="GM4">
        <v>1.748</v>
      </c>
      <c r="GN4">
        <v>3.0150000000000001</v>
      </c>
      <c r="GO4">
        <v>0.85099999999999998</v>
      </c>
      <c r="GP4">
        <v>1.204</v>
      </c>
      <c r="GQ4">
        <v>1.462</v>
      </c>
      <c r="GR4">
        <v>-1.492</v>
      </c>
      <c r="GS4">
        <v>-0.80100000000000005</v>
      </c>
      <c r="GT4">
        <v>-0.48299999999999998</v>
      </c>
      <c r="GU4">
        <v>-7.7439999999999998</v>
      </c>
      <c r="GV4">
        <v>2.6179999999999999</v>
      </c>
      <c r="GW4">
        <v>3.19</v>
      </c>
      <c r="GX4">
        <v>2.472</v>
      </c>
      <c r="GY4">
        <v>-0.39500000000000002</v>
      </c>
      <c r="GZ4">
        <v>-0.63200000000000001</v>
      </c>
      <c r="HA4">
        <v>7.3999999999999996E-2</v>
      </c>
      <c r="HB4">
        <v>-3.15</v>
      </c>
      <c r="HC4">
        <v>-4.3559999999999999</v>
      </c>
      <c r="HD4">
        <v>-2.343</v>
      </c>
      <c r="HE4">
        <v>2.06</v>
      </c>
      <c r="HF4">
        <v>-2.7450000000000001</v>
      </c>
      <c r="HG4">
        <v>-0.51</v>
      </c>
      <c r="HH4">
        <v>-3.2890000000000001</v>
      </c>
      <c r="HI4">
        <v>0.49399999999999999</v>
      </c>
      <c r="HJ4">
        <v>0.73499999999999999</v>
      </c>
      <c r="HK4">
        <v>2.2999999999999998</v>
      </c>
      <c r="HL4">
        <v>2.867</v>
      </c>
      <c r="HM4">
        <v>-4.0709999999999997</v>
      </c>
      <c r="HN4">
        <v>0.76700000000000002</v>
      </c>
      <c r="HO4">
        <v>-3.7490000000000001</v>
      </c>
      <c r="HP4">
        <v>1.71</v>
      </c>
      <c r="HQ4">
        <v>0.93200000000000005</v>
      </c>
      <c r="HR4">
        <v>-4.258</v>
      </c>
      <c r="HS4">
        <v>-4.5940000000000003</v>
      </c>
      <c r="HT4">
        <v>-1.4179999999999999</v>
      </c>
      <c r="HU4">
        <v>0.65200000000000002</v>
      </c>
      <c r="HV4">
        <v>-0.88700000000000001</v>
      </c>
      <c r="HW4">
        <v>-0.97899999999999998</v>
      </c>
      <c r="HX4">
        <v>-1.181</v>
      </c>
      <c r="HY4">
        <v>0.61799999999999999</v>
      </c>
      <c r="HZ4">
        <v>1.9319999999999999</v>
      </c>
      <c r="IA4">
        <v>1.4470000000000001</v>
      </c>
      <c r="IB4">
        <v>0.79200000000000004</v>
      </c>
      <c r="IC4">
        <v>-2.194</v>
      </c>
      <c r="ID4">
        <v>-3.4809999999999999</v>
      </c>
      <c r="IE4">
        <v>0.95699999999999996</v>
      </c>
      <c r="IF4">
        <v>2.988</v>
      </c>
      <c r="IG4">
        <v>2.827</v>
      </c>
      <c r="IH4">
        <v>-1.401</v>
      </c>
      <c r="II4">
        <v>2.2770000000000001</v>
      </c>
      <c r="IJ4">
        <v>0.80100000000000005</v>
      </c>
      <c r="IK4">
        <v>0.73599999999999999</v>
      </c>
      <c r="IL4">
        <v>3.2160000000000002</v>
      </c>
      <c r="IM4">
        <v>1.5760000000000001</v>
      </c>
      <c r="IN4">
        <v>-1.2</v>
      </c>
      <c r="IO4">
        <v>0.92400000000000004</v>
      </c>
      <c r="IP4">
        <v>-1.129</v>
      </c>
      <c r="IQ4">
        <v>-5.6769999999999996</v>
      </c>
      <c r="IR4">
        <v>0.83199999999999996</v>
      </c>
      <c r="IS4">
        <v>2.0680000000000001</v>
      </c>
      <c r="IT4">
        <v>1.9079999999999999</v>
      </c>
      <c r="IU4">
        <v>1.1679999999999999</v>
      </c>
      <c r="IV4">
        <v>-0.63100000000000001</v>
      </c>
      <c r="IW4">
        <v>-1.0049999999999999</v>
      </c>
      <c r="IX4">
        <v>-1.2809999999999999</v>
      </c>
      <c r="IY4">
        <v>-1.0549999999999999</v>
      </c>
      <c r="IZ4">
        <v>-1.157</v>
      </c>
      <c r="JA4">
        <v>1.258</v>
      </c>
      <c r="JB4">
        <v>0.72</v>
      </c>
      <c r="JC4">
        <v>2.1859999999999999</v>
      </c>
      <c r="JD4">
        <v>-1.3759999999999999</v>
      </c>
      <c r="JE4">
        <v>0.32700000000000001</v>
      </c>
      <c r="JF4">
        <v>1.5409999999999999</v>
      </c>
      <c r="JG4">
        <v>0.36499999999999999</v>
      </c>
      <c r="JH4">
        <v>0.59199999999999997</v>
      </c>
      <c r="JI4">
        <v>-6.29</v>
      </c>
      <c r="JJ4">
        <v>1.2549999999999999</v>
      </c>
      <c r="JK4">
        <v>-5.2839999999999998</v>
      </c>
      <c r="JL4">
        <v>-1.921</v>
      </c>
      <c r="JM4">
        <v>1.7629999999999999</v>
      </c>
      <c r="JN4">
        <v>1.0589999999999999</v>
      </c>
      <c r="JO4">
        <v>1.6160000000000001</v>
      </c>
      <c r="JP4">
        <v>-4.41</v>
      </c>
      <c r="JQ4">
        <v>0.98299999999999998</v>
      </c>
      <c r="JR4">
        <v>-0.245</v>
      </c>
      <c r="JS4">
        <v>2.37</v>
      </c>
      <c r="JT4">
        <v>1.2130000000000001</v>
      </c>
      <c r="JU4">
        <v>1.2E-2</v>
      </c>
      <c r="JV4">
        <v>0.70299999999999996</v>
      </c>
      <c r="JW4">
        <v>2.9340000000000002</v>
      </c>
      <c r="JX4">
        <v>1.02</v>
      </c>
      <c r="JY4">
        <v>-3.5979999999999999</v>
      </c>
      <c r="JZ4">
        <v>-3.5870000000000002</v>
      </c>
      <c r="KA4">
        <v>1.0489999999999999</v>
      </c>
      <c r="KB4">
        <v>0.496</v>
      </c>
      <c r="KC4">
        <v>1.268</v>
      </c>
      <c r="KD4">
        <v>1.4490000000000001</v>
      </c>
      <c r="KE4">
        <v>-2.2029999999999998</v>
      </c>
      <c r="KF4">
        <v>-3.0449999999999999</v>
      </c>
      <c r="KG4">
        <v>3.008</v>
      </c>
      <c r="KH4">
        <v>2.601</v>
      </c>
      <c r="KI4">
        <v>1.587</v>
      </c>
      <c r="KJ4">
        <v>1.2589999999999999</v>
      </c>
      <c r="KK4">
        <v>2.4380000000000002</v>
      </c>
      <c r="KL4">
        <v>-3.0009999999999999</v>
      </c>
      <c r="KM4">
        <v>-2.8719999999999999</v>
      </c>
      <c r="KN4">
        <v>0.995</v>
      </c>
      <c r="KO4">
        <v>-1.544</v>
      </c>
      <c r="KP4">
        <v>-1.19</v>
      </c>
      <c r="KQ4">
        <v>-4.6890000000000001</v>
      </c>
      <c r="KR4">
        <v>-6.1669999999999998</v>
      </c>
    </row>
    <row r="5" spans="1:304" x14ac:dyDescent="0.25">
      <c r="A5">
        <v>4</v>
      </c>
      <c r="C5">
        <v>-3.4020000000000001</v>
      </c>
      <c r="D5">
        <v>5.39</v>
      </c>
      <c r="E5">
        <v>6.04</v>
      </c>
      <c r="F5">
        <v>5.6379999999999999</v>
      </c>
      <c r="G5">
        <v>5.67</v>
      </c>
      <c r="H5">
        <v>5.6689999999999996</v>
      </c>
      <c r="I5">
        <v>-0.38500000000000001</v>
      </c>
      <c r="J5">
        <v>-1.33</v>
      </c>
      <c r="K5">
        <v>5.0659999999999998</v>
      </c>
      <c r="L5">
        <v>5.9429999999999996</v>
      </c>
      <c r="M5">
        <v>4.298</v>
      </c>
      <c r="N5">
        <v>4.4829999999999997</v>
      </c>
      <c r="O5">
        <v>2.1280000000000001</v>
      </c>
      <c r="P5">
        <v>6.1989999999999998</v>
      </c>
      <c r="Q5">
        <v>1.607</v>
      </c>
      <c r="R5">
        <v>5.585</v>
      </c>
      <c r="S5">
        <v>4.26</v>
      </c>
      <c r="T5">
        <v>6.335</v>
      </c>
      <c r="U5">
        <v>4.9480000000000004</v>
      </c>
      <c r="V5">
        <v>5.3529999999999998</v>
      </c>
      <c r="W5">
        <v>5.7380000000000004</v>
      </c>
      <c r="X5">
        <v>6.0730000000000004</v>
      </c>
      <c r="Y5">
        <v>7.0389999999999997</v>
      </c>
      <c r="Z5">
        <v>3.1110000000000002</v>
      </c>
      <c r="AA5">
        <v>7.2729999999999997</v>
      </c>
      <c r="AB5">
        <v>6.5629999999999997</v>
      </c>
      <c r="AC5">
        <v>4.1479999999999997</v>
      </c>
      <c r="AD5">
        <v>4.8689999999999998</v>
      </c>
      <c r="AE5">
        <v>4.5579999999999998</v>
      </c>
      <c r="AF5">
        <v>4.6269999999999998</v>
      </c>
      <c r="AG5">
        <v>3.8719999999999999</v>
      </c>
      <c r="AH5">
        <v>1.708</v>
      </c>
      <c r="AI5">
        <v>2.7610000000000001</v>
      </c>
      <c r="AJ5">
        <v>5.444</v>
      </c>
      <c r="AK5">
        <v>5.5279999999999996</v>
      </c>
      <c r="AL5">
        <v>5.5430000000000001</v>
      </c>
      <c r="AM5">
        <v>5.7889999999999997</v>
      </c>
      <c r="AN5">
        <v>5.3259999999999996</v>
      </c>
      <c r="AO5">
        <v>5.8490000000000002</v>
      </c>
      <c r="AP5">
        <v>4.3099999999999996</v>
      </c>
      <c r="AQ5">
        <v>7.069</v>
      </c>
      <c r="AR5">
        <v>5.5949999999999998</v>
      </c>
      <c r="AS5">
        <v>5.8620000000000001</v>
      </c>
      <c r="AT5">
        <v>4.5289999999999999</v>
      </c>
      <c r="AU5">
        <v>4.1719999999999997</v>
      </c>
      <c r="AV5">
        <v>5.7549999999999999</v>
      </c>
      <c r="AW5">
        <v>4.9029999999999996</v>
      </c>
      <c r="AX5">
        <v>5.65</v>
      </c>
      <c r="AY5">
        <v>3.7290000000000001</v>
      </c>
      <c r="AZ5">
        <v>-0.64400000000000002</v>
      </c>
      <c r="BA5">
        <v>5.0650000000000004</v>
      </c>
      <c r="BB5">
        <v>0.68400000000000005</v>
      </c>
      <c r="BC5">
        <v>4.5439999999999996</v>
      </c>
      <c r="BD5">
        <v>5.5540000000000003</v>
      </c>
      <c r="BE5">
        <v>5.2240000000000002</v>
      </c>
      <c r="BF5">
        <v>5.6109999999999998</v>
      </c>
      <c r="BG5">
        <v>-1.1399999999999999</v>
      </c>
      <c r="BH5">
        <v>-1.4690000000000001</v>
      </c>
      <c r="BI5">
        <v>5.6509999999999998</v>
      </c>
      <c r="BJ5">
        <v>7.5670000000000002</v>
      </c>
      <c r="BK5">
        <v>5.6970000000000001</v>
      </c>
      <c r="BL5">
        <v>5.8259999999999996</v>
      </c>
      <c r="BM5">
        <v>4.8440000000000003</v>
      </c>
      <c r="BN5">
        <v>3.786</v>
      </c>
      <c r="BO5">
        <v>5.952</v>
      </c>
      <c r="BP5">
        <v>6.6909999999999998</v>
      </c>
      <c r="BQ5">
        <v>2.8079999999999998</v>
      </c>
      <c r="BR5">
        <v>4.7949999999999999</v>
      </c>
      <c r="BS5">
        <v>5.524</v>
      </c>
      <c r="BT5">
        <v>2.169</v>
      </c>
      <c r="BU5">
        <v>-0.70499999999999996</v>
      </c>
      <c r="BV5">
        <v>4.1459999999999999</v>
      </c>
      <c r="BW5">
        <v>6.9880000000000004</v>
      </c>
      <c r="BX5">
        <v>-1.0940000000000001</v>
      </c>
      <c r="BY5">
        <v>5.9139999999999997</v>
      </c>
      <c r="BZ5">
        <v>5.4219999999999997</v>
      </c>
      <c r="CA5">
        <v>5.4880000000000004</v>
      </c>
      <c r="CB5">
        <v>3.6269999999999998</v>
      </c>
      <c r="CC5">
        <v>4.9059999999999997</v>
      </c>
      <c r="CD5">
        <v>5.9130000000000003</v>
      </c>
      <c r="CE5">
        <v>4.0720000000000001</v>
      </c>
      <c r="CF5">
        <v>6.359</v>
      </c>
      <c r="CG5">
        <v>5.7380000000000004</v>
      </c>
      <c r="CH5">
        <v>3.847</v>
      </c>
      <c r="CI5">
        <v>3.266</v>
      </c>
      <c r="CJ5">
        <v>6.2119999999999997</v>
      </c>
      <c r="CK5">
        <v>6.1310000000000002</v>
      </c>
      <c r="CL5">
        <v>7.5579999999999998</v>
      </c>
      <c r="CM5">
        <v>6.524</v>
      </c>
      <c r="CN5">
        <v>5.2389999999999999</v>
      </c>
      <c r="CO5">
        <v>5.6520000000000001</v>
      </c>
      <c r="CP5">
        <v>-0.996</v>
      </c>
      <c r="CQ5">
        <v>2.4020000000000001</v>
      </c>
      <c r="CR5">
        <v>5.5739999999999998</v>
      </c>
      <c r="CS5">
        <v>5.7590000000000003</v>
      </c>
      <c r="CT5">
        <v>-0.57399999999999995</v>
      </c>
      <c r="CU5">
        <v>5.3970000000000002</v>
      </c>
      <c r="CV5">
        <v>-1.5860000000000001</v>
      </c>
      <c r="CW5">
        <v>5.7220000000000004</v>
      </c>
      <c r="CX5">
        <v>5.6059999999999999</v>
      </c>
      <c r="CY5">
        <v>4.6529999999999996</v>
      </c>
      <c r="CZ5">
        <v>5.88</v>
      </c>
      <c r="DA5">
        <v>5.415</v>
      </c>
      <c r="DB5">
        <v>5.415</v>
      </c>
      <c r="DC5">
        <v>4.4619999999999997</v>
      </c>
      <c r="DD5">
        <v>5.4749999999999996</v>
      </c>
      <c r="DE5">
        <v>-2.0089999999999999</v>
      </c>
      <c r="DF5">
        <v>5.4139999999999997</v>
      </c>
      <c r="DG5">
        <v>7.4640000000000004</v>
      </c>
      <c r="DH5">
        <v>4.9580000000000002</v>
      </c>
      <c r="DI5">
        <v>5.2350000000000003</v>
      </c>
      <c r="DJ5">
        <v>2.9239999999999999</v>
      </c>
      <c r="DK5">
        <v>5.9960000000000004</v>
      </c>
      <c r="DL5">
        <v>4.9279999999999999</v>
      </c>
      <c r="DM5">
        <v>3.9870000000000001</v>
      </c>
      <c r="DN5">
        <v>7.609</v>
      </c>
      <c r="DO5">
        <v>5.7480000000000002</v>
      </c>
      <c r="DP5">
        <v>7.6360000000000001</v>
      </c>
      <c r="DQ5">
        <v>-0.77300000000000002</v>
      </c>
      <c r="DR5">
        <v>5.0990000000000002</v>
      </c>
      <c r="DS5">
        <v>5.7069999999999999</v>
      </c>
      <c r="DT5">
        <v>6.6740000000000004</v>
      </c>
      <c r="DU5">
        <v>7.0069999999999997</v>
      </c>
      <c r="DV5">
        <v>5.835</v>
      </c>
      <c r="DW5">
        <v>6.0039999999999996</v>
      </c>
      <c r="DX5">
        <v>3.117</v>
      </c>
      <c r="DY5">
        <v>5.8339999999999996</v>
      </c>
      <c r="DZ5">
        <v>5.3970000000000002</v>
      </c>
      <c r="EA5">
        <v>5.1100000000000003</v>
      </c>
      <c r="EB5">
        <v>5.5170000000000003</v>
      </c>
      <c r="EC5">
        <v>6.9870000000000001</v>
      </c>
      <c r="ED5">
        <v>5.5990000000000002</v>
      </c>
      <c r="EE5">
        <v>5.2779999999999996</v>
      </c>
      <c r="EF5">
        <v>6.2140000000000004</v>
      </c>
      <c r="EG5">
        <v>3.58</v>
      </c>
      <c r="EH5">
        <v>7.9089999999999998</v>
      </c>
      <c r="EI5">
        <v>3.9329999999999998</v>
      </c>
      <c r="EJ5">
        <v>0.33</v>
      </c>
      <c r="EK5">
        <v>6.085</v>
      </c>
      <c r="EL5">
        <v>-0.82099999999999995</v>
      </c>
      <c r="EM5">
        <v>7.2690000000000001</v>
      </c>
      <c r="EN5">
        <v>5.4729999999999999</v>
      </c>
      <c r="EO5">
        <v>6.29</v>
      </c>
      <c r="EP5">
        <v>2.855</v>
      </c>
      <c r="EQ5">
        <v>-1.202</v>
      </c>
      <c r="ER5">
        <v>6.6070000000000002</v>
      </c>
      <c r="ES5">
        <v>6.0229999999999997</v>
      </c>
      <c r="ET5">
        <v>5.7069999999999999</v>
      </c>
      <c r="EU5">
        <v>5.4020000000000001</v>
      </c>
      <c r="EV5">
        <v>4.6609999999999996</v>
      </c>
      <c r="EW5">
        <v>5.4550000000000001</v>
      </c>
      <c r="EX5">
        <v>6.5149999999999997</v>
      </c>
      <c r="EY5">
        <v>5.5049999999999999</v>
      </c>
      <c r="EZ5">
        <v>6.157</v>
      </c>
      <c r="FA5">
        <v>7.6050000000000004</v>
      </c>
      <c r="FB5">
        <v>6.5629999999999997</v>
      </c>
      <c r="FC5">
        <v>5.4169999999999998</v>
      </c>
      <c r="FD5">
        <v>6.0789999999999997</v>
      </c>
      <c r="FE5">
        <v>3.4929999999999999</v>
      </c>
      <c r="FF5">
        <v>3.73</v>
      </c>
      <c r="FG5">
        <v>3.3929999999999998</v>
      </c>
      <c r="FH5">
        <v>2.1419999999999999</v>
      </c>
      <c r="FI5">
        <v>5.8310000000000004</v>
      </c>
      <c r="FJ5">
        <v>4.7789999999999999</v>
      </c>
      <c r="FK5">
        <v>-0.78200000000000003</v>
      </c>
      <c r="FL5">
        <v>5.1120000000000001</v>
      </c>
      <c r="FM5">
        <v>5.2130000000000001</v>
      </c>
      <c r="FN5">
        <v>6.1680000000000001</v>
      </c>
      <c r="FO5">
        <v>5.13</v>
      </c>
      <c r="FP5">
        <v>5.218</v>
      </c>
      <c r="FQ5">
        <v>3.5379999999999998</v>
      </c>
      <c r="FR5">
        <v>6.843</v>
      </c>
      <c r="FS5">
        <v>4.3659999999999997</v>
      </c>
      <c r="FT5">
        <v>6.17</v>
      </c>
      <c r="FU5">
        <v>5.7779999999999996</v>
      </c>
      <c r="FV5">
        <v>6.6479999999999997</v>
      </c>
      <c r="FW5">
        <v>5.2759999999999998</v>
      </c>
      <c r="FX5">
        <v>-0.28699999999999998</v>
      </c>
      <c r="FY5">
        <v>6.1929999999999996</v>
      </c>
      <c r="FZ5">
        <v>1.6220000000000001</v>
      </c>
      <c r="GA5">
        <v>-1.1379999999999999</v>
      </c>
      <c r="GB5">
        <v>1.663</v>
      </c>
      <c r="GC5">
        <v>5.8719999999999999</v>
      </c>
      <c r="GD5">
        <v>3.1779999999999999</v>
      </c>
      <c r="GE5">
        <v>3.9940000000000002</v>
      </c>
      <c r="GF5">
        <v>4.8540000000000001</v>
      </c>
      <c r="GG5">
        <v>3.8639999999999999</v>
      </c>
      <c r="GH5">
        <v>3.8149999999999999</v>
      </c>
      <c r="GI5">
        <v>4.76</v>
      </c>
      <c r="GJ5">
        <v>5.82</v>
      </c>
      <c r="GK5">
        <v>5.2750000000000004</v>
      </c>
      <c r="GL5">
        <v>1.9650000000000001</v>
      </c>
      <c r="GM5">
        <v>4.3230000000000004</v>
      </c>
      <c r="GN5">
        <v>6.6369999999999996</v>
      </c>
      <c r="GO5">
        <v>5.468</v>
      </c>
      <c r="GP5">
        <v>5.1859999999999999</v>
      </c>
      <c r="GQ5">
        <v>4.3239999999999998</v>
      </c>
      <c r="GR5">
        <v>3.0009999999999999</v>
      </c>
      <c r="GS5">
        <v>5.5279999999999996</v>
      </c>
      <c r="GT5">
        <v>6.4560000000000004</v>
      </c>
      <c r="GU5">
        <v>-0.109</v>
      </c>
      <c r="GV5">
        <v>5.7039999999999997</v>
      </c>
      <c r="GW5">
        <v>6.4509999999999996</v>
      </c>
      <c r="GX5">
        <v>7.0190000000000001</v>
      </c>
      <c r="GY5">
        <v>6.3819999999999997</v>
      </c>
      <c r="GZ5">
        <v>6.1260000000000003</v>
      </c>
      <c r="HA5">
        <v>4.3319999999999999</v>
      </c>
      <c r="HB5">
        <v>1.3069999999999999</v>
      </c>
      <c r="HC5">
        <v>0.81499999999999995</v>
      </c>
      <c r="HD5">
        <v>5.6740000000000004</v>
      </c>
      <c r="HE5">
        <v>6.3780000000000001</v>
      </c>
      <c r="HF5">
        <v>1.8640000000000001</v>
      </c>
      <c r="HG5">
        <v>5.5389999999999997</v>
      </c>
      <c r="HH5">
        <v>3.0649999999999999</v>
      </c>
      <c r="HI5">
        <v>5.4509999999999996</v>
      </c>
      <c r="HJ5">
        <v>4.5170000000000003</v>
      </c>
      <c r="HK5">
        <v>5.8570000000000002</v>
      </c>
      <c r="HL5">
        <v>7.3680000000000003</v>
      </c>
      <c r="HM5">
        <v>1.5660000000000001</v>
      </c>
      <c r="HN5">
        <v>5.3360000000000003</v>
      </c>
      <c r="HO5">
        <v>2.7989999999999999</v>
      </c>
      <c r="HP5">
        <v>5.2119999999999997</v>
      </c>
      <c r="HQ5">
        <v>5.0419999999999998</v>
      </c>
      <c r="HR5">
        <v>0.35299999999999998</v>
      </c>
      <c r="HS5">
        <v>6.7000000000000004E-2</v>
      </c>
      <c r="HT5">
        <v>4.9349999999999996</v>
      </c>
      <c r="HU5">
        <v>5.1539999999999999</v>
      </c>
      <c r="HV5">
        <v>4.7869999999999999</v>
      </c>
      <c r="HW5">
        <v>5.5060000000000002</v>
      </c>
      <c r="HX5">
        <v>6.13</v>
      </c>
      <c r="HY5">
        <v>6.9790000000000001</v>
      </c>
      <c r="HZ5">
        <v>6.3570000000000002</v>
      </c>
      <c r="IA5">
        <v>5.2309999999999999</v>
      </c>
      <c r="IB5">
        <v>5.2119999999999997</v>
      </c>
      <c r="IC5">
        <v>5.6879999999999997</v>
      </c>
      <c r="ID5">
        <v>3.1739999999999999</v>
      </c>
      <c r="IE5">
        <v>6.1079999999999997</v>
      </c>
      <c r="IF5">
        <v>6.1980000000000004</v>
      </c>
      <c r="IG5">
        <v>6.1369999999999996</v>
      </c>
      <c r="IH5">
        <v>3.7280000000000002</v>
      </c>
      <c r="II5">
        <v>5.4489999999999998</v>
      </c>
      <c r="IJ5">
        <v>5.3780000000000001</v>
      </c>
      <c r="IK5">
        <v>5.524</v>
      </c>
      <c r="IL5">
        <v>6.444</v>
      </c>
      <c r="IM5">
        <v>6.5490000000000004</v>
      </c>
      <c r="IN5">
        <v>3.02</v>
      </c>
      <c r="IO5">
        <v>4.6609999999999996</v>
      </c>
      <c r="IP5">
        <v>4.5529999999999999</v>
      </c>
      <c r="IQ5">
        <v>-0.95299999999999996</v>
      </c>
      <c r="IR5">
        <v>3.3439999999999999</v>
      </c>
      <c r="IS5">
        <v>6.2359999999999998</v>
      </c>
      <c r="IT5">
        <v>6.5990000000000002</v>
      </c>
      <c r="IU5">
        <v>6.181</v>
      </c>
      <c r="IV5">
        <v>5.3109999999999999</v>
      </c>
      <c r="IW5">
        <v>1.919</v>
      </c>
      <c r="IX5">
        <v>5.2930000000000001</v>
      </c>
      <c r="IY5">
        <v>5.4720000000000004</v>
      </c>
      <c r="IZ5">
        <v>5.218</v>
      </c>
      <c r="JA5">
        <v>5.28</v>
      </c>
      <c r="JB5">
        <v>4.7439999999999998</v>
      </c>
      <c r="JC5">
        <v>6.3140000000000001</v>
      </c>
      <c r="JD5">
        <v>5.1559999999999997</v>
      </c>
      <c r="JE5">
        <v>2.468</v>
      </c>
      <c r="JF5">
        <v>5.8630000000000004</v>
      </c>
      <c r="JG5">
        <v>7.3879999999999999</v>
      </c>
      <c r="JH5">
        <v>5.4029999999999996</v>
      </c>
      <c r="JI5">
        <v>0.54800000000000004</v>
      </c>
      <c r="JJ5">
        <v>6.2560000000000002</v>
      </c>
      <c r="JK5">
        <v>1.4330000000000001</v>
      </c>
      <c r="JL5">
        <v>5.548</v>
      </c>
      <c r="JM5">
        <v>5.923</v>
      </c>
      <c r="JN5">
        <v>5.6139999999999999</v>
      </c>
      <c r="JO5">
        <v>5.992</v>
      </c>
      <c r="JP5">
        <v>2</v>
      </c>
      <c r="JQ5">
        <v>4.9539999999999997</v>
      </c>
      <c r="JR5">
        <v>4.9009999999999998</v>
      </c>
      <c r="JS5">
        <v>6.2450000000000001</v>
      </c>
      <c r="JT5">
        <v>4.9800000000000004</v>
      </c>
      <c r="JU5">
        <v>5.6929999999999996</v>
      </c>
      <c r="JV5">
        <v>4.6159999999999997</v>
      </c>
      <c r="JW5">
        <v>5.8949999999999996</v>
      </c>
      <c r="JX5">
        <v>5.9260000000000002</v>
      </c>
      <c r="JY5">
        <v>3.1320000000000001</v>
      </c>
      <c r="JZ5">
        <v>1.0249999999999999</v>
      </c>
      <c r="KA5">
        <v>4.327</v>
      </c>
      <c r="KB5">
        <v>5.25</v>
      </c>
      <c r="KC5">
        <v>5.0209999999999999</v>
      </c>
      <c r="KD5">
        <v>5.5979999999999999</v>
      </c>
      <c r="KE5">
        <v>3.5289999999999999</v>
      </c>
      <c r="KF5">
        <v>0.71299999999999997</v>
      </c>
      <c r="KG5">
        <v>5.8040000000000003</v>
      </c>
      <c r="KH5">
        <v>7.548</v>
      </c>
      <c r="KI5">
        <v>5.6950000000000003</v>
      </c>
      <c r="KJ5">
        <v>4.0720000000000001</v>
      </c>
      <c r="KK5">
        <v>6.9349999999999996</v>
      </c>
      <c r="KL5">
        <v>3.0379999999999998</v>
      </c>
      <c r="KM5">
        <v>2.1640000000000001</v>
      </c>
      <c r="KN5">
        <v>5.0759999999999996</v>
      </c>
      <c r="KO5">
        <v>5.8920000000000003</v>
      </c>
      <c r="KP5">
        <v>4.7619999999999996</v>
      </c>
      <c r="KQ5">
        <v>-0.28100000000000003</v>
      </c>
      <c r="KR5">
        <v>-0.28399999999999997</v>
      </c>
    </row>
    <row r="6" spans="1:304" x14ac:dyDescent="0.25">
      <c r="A6">
        <v>5</v>
      </c>
      <c r="C6">
        <v>5.0590000000000002</v>
      </c>
      <c r="D6">
        <v>10.676</v>
      </c>
      <c r="E6">
        <v>10.403</v>
      </c>
      <c r="F6">
        <v>11.074</v>
      </c>
      <c r="G6">
        <v>11.186999999999999</v>
      </c>
      <c r="H6">
        <v>10.103</v>
      </c>
      <c r="I6">
        <v>4.8970000000000002</v>
      </c>
      <c r="J6">
        <v>5.8819999999999997</v>
      </c>
      <c r="K6">
        <v>8.7449999999999992</v>
      </c>
      <c r="L6">
        <v>8.7289999999999992</v>
      </c>
      <c r="M6">
        <v>9.2780000000000005</v>
      </c>
      <c r="N6">
        <v>10.308</v>
      </c>
      <c r="O6">
        <v>6.8460000000000001</v>
      </c>
      <c r="P6">
        <v>11.497999999999999</v>
      </c>
      <c r="Q6">
        <v>9.0969999999999995</v>
      </c>
      <c r="R6">
        <v>10.83</v>
      </c>
      <c r="S6">
        <v>8.8629999999999995</v>
      </c>
      <c r="T6">
        <v>10.337</v>
      </c>
      <c r="U6">
        <v>10.446999999999999</v>
      </c>
      <c r="V6">
        <v>9.6660000000000004</v>
      </c>
      <c r="W6">
        <v>9.9830000000000005</v>
      </c>
      <c r="X6">
        <v>11.326000000000001</v>
      </c>
      <c r="Y6">
        <v>11.414</v>
      </c>
      <c r="Z6">
        <v>7.9290000000000003</v>
      </c>
      <c r="AA6">
        <v>11.737</v>
      </c>
      <c r="AB6">
        <v>11.683</v>
      </c>
      <c r="AC6">
        <v>9.5380000000000003</v>
      </c>
      <c r="AD6">
        <v>11.42</v>
      </c>
      <c r="AE6">
        <v>10.856</v>
      </c>
      <c r="AF6">
        <v>10.788</v>
      </c>
      <c r="AG6">
        <v>8.9359999999999999</v>
      </c>
      <c r="AH6">
        <v>7.47</v>
      </c>
      <c r="AI6">
        <v>8.9789999999999992</v>
      </c>
      <c r="AJ6">
        <v>9.8219999999999992</v>
      </c>
      <c r="AK6">
        <v>11.118</v>
      </c>
      <c r="AL6">
        <v>10.614000000000001</v>
      </c>
      <c r="AM6">
        <v>11.577999999999999</v>
      </c>
      <c r="AN6">
        <v>11.916</v>
      </c>
      <c r="AO6">
        <v>11.042</v>
      </c>
      <c r="AP6">
        <v>9.4570000000000007</v>
      </c>
      <c r="AQ6">
        <v>10.948</v>
      </c>
      <c r="AR6">
        <v>9.42</v>
      </c>
      <c r="AS6">
        <v>10.785</v>
      </c>
      <c r="AT6">
        <v>10.176</v>
      </c>
      <c r="AU6">
        <v>9.8249999999999993</v>
      </c>
      <c r="AV6">
        <v>9.3849999999999998</v>
      </c>
      <c r="AW6">
        <v>10.701000000000001</v>
      </c>
      <c r="AX6">
        <v>10.379</v>
      </c>
      <c r="AY6">
        <v>10.419</v>
      </c>
      <c r="AZ6">
        <v>8.9090000000000007</v>
      </c>
      <c r="BA6">
        <v>11.724</v>
      </c>
      <c r="BB6">
        <v>6.7190000000000003</v>
      </c>
      <c r="BC6">
        <v>7.6769999999999996</v>
      </c>
      <c r="BD6">
        <v>10.478999999999999</v>
      </c>
      <c r="BE6">
        <v>10.013999999999999</v>
      </c>
      <c r="BF6">
        <v>11.09</v>
      </c>
      <c r="BG6">
        <v>6.4210000000000003</v>
      </c>
      <c r="BH6">
        <v>4.88</v>
      </c>
      <c r="BI6">
        <v>9.9469999999999992</v>
      </c>
      <c r="BJ6">
        <v>10.491</v>
      </c>
      <c r="BK6">
        <v>10.959</v>
      </c>
      <c r="BL6">
        <v>10.435</v>
      </c>
      <c r="BM6">
        <v>10.117000000000001</v>
      </c>
      <c r="BN6">
        <v>10.698</v>
      </c>
      <c r="BO6">
        <v>10.272</v>
      </c>
      <c r="BP6">
        <v>11.398</v>
      </c>
      <c r="BQ6">
        <v>8.4179999999999993</v>
      </c>
      <c r="BR6">
        <v>10.74</v>
      </c>
      <c r="BS6">
        <v>10.032</v>
      </c>
      <c r="BT6">
        <v>6.1749999999999998</v>
      </c>
      <c r="BU6">
        <v>6.4059999999999997</v>
      </c>
      <c r="BV6">
        <v>10.272</v>
      </c>
      <c r="BW6">
        <v>11.522</v>
      </c>
      <c r="BX6">
        <v>4.0049999999999999</v>
      </c>
      <c r="BY6">
        <v>9.9600000000000009</v>
      </c>
      <c r="BZ6">
        <v>9.6790000000000003</v>
      </c>
      <c r="CA6">
        <v>8.843</v>
      </c>
      <c r="CB6">
        <v>9.8889999999999993</v>
      </c>
      <c r="CC6">
        <v>10.925000000000001</v>
      </c>
      <c r="CD6">
        <v>8.718</v>
      </c>
      <c r="CE6">
        <v>8.6170000000000009</v>
      </c>
      <c r="CF6">
        <v>10.282999999999999</v>
      </c>
      <c r="CG6">
        <v>10.351000000000001</v>
      </c>
      <c r="CH6">
        <v>9.9689999999999994</v>
      </c>
      <c r="CI6">
        <v>7.9809999999999999</v>
      </c>
      <c r="CJ6">
        <v>10.680999999999999</v>
      </c>
      <c r="CK6">
        <v>11.654</v>
      </c>
      <c r="CL6">
        <v>11.356999999999999</v>
      </c>
      <c r="CM6">
        <v>10.362</v>
      </c>
      <c r="CN6">
        <v>11.75</v>
      </c>
      <c r="CO6">
        <v>10.967000000000001</v>
      </c>
      <c r="CP6">
        <v>7.6559999999999997</v>
      </c>
      <c r="CQ6">
        <v>8.2669999999999995</v>
      </c>
      <c r="CR6">
        <v>10.724</v>
      </c>
      <c r="CS6">
        <v>10.27</v>
      </c>
      <c r="CT6">
        <v>8.3789999999999996</v>
      </c>
      <c r="CU6">
        <v>11.365</v>
      </c>
      <c r="CV6">
        <v>3.3759999999999999</v>
      </c>
      <c r="CW6">
        <v>10.510999999999999</v>
      </c>
      <c r="CX6">
        <v>10.583</v>
      </c>
      <c r="CY6">
        <v>9.9949999999999992</v>
      </c>
      <c r="CZ6">
        <v>10.833</v>
      </c>
      <c r="DA6">
        <v>10.63</v>
      </c>
      <c r="DB6">
        <v>10.63</v>
      </c>
      <c r="DC6">
        <v>10.672000000000001</v>
      </c>
      <c r="DD6">
        <v>10.611000000000001</v>
      </c>
      <c r="DE6">
        <v>4.508</v>
      </c>
      <c r="DF6">
        <v>10.303000000000001</v>
      </c>
      <c r="DG6">
        <v>11.513</v>
      </c>
      <c r="DH6">
        <v>10.272</v>
      </c>
      <c r="DI6">
        <v>9.7260000000000009</v>
      </c>
      <c r="DJ6">
        <v>8.11</v>
      </c>
      <c r="DK6">
        <v>11.202999999999999</v>
      </c>
      <c r="DL6">
        <v>10.494</v>
      </c>
      <c r="DM6">
        <v>10.991</v>
      </c>
      <c r="DN6">
        <v>9.9670000000000005</v>
      </c>
      <c r="DO6">
        <v>11.837</v>
      </c>
      <c r="DP6">
        <v>10.593999999999999</v>
      </c>
      <c r="DQ6">
        <v>5.2590000000000003</v>
      </c>
      <c r="DR6">
        <v>10.185</v>
      </c>
      <c r="DS6">
        <v>11.55</v>
      </c>
      <c r="DT6">
        <v>11.555999999999999</v>
      </c>
      <c r="DU6">
        <v>11.515000000000001</v>
      </c>
      <c r="DV6">
        <v>10.837</v>
      </c>
      <c r="DW6">
        <v>9.1769999999999996</v>
      </c>
      <c r="DX6">
        <v>9.5860000000000003</v>
      </c>
      <c r="DY6">
        <v>10.352</v>
      </c>
      <c r="DZ6">
        <v>11.058999999999999</v>
      </c>
      <c r="EA6">
        <v>10.98</v>
      </c>
      <c r="EB6">
        <v>10.773999999999999</v>
      </c>
      <c r="EC6">
        <v>10.121</v>
      </c>
      <c r="ED6">
        <v>10.5</v>
      </c>
      <c r="EE6">
        <v>10.802</v>
      </c>
      <c r="EF6">
        <v>10.625</v>
      </c>
      <c r="EG6">
        <v>10.595000000000001</v>
      </c>
      <c r="EH6">
        <v>11.698</v>
      </c>
      <c r="EI6">
        <v>9.8879999999999999</v>
      </c>
      <c r="EJ6">
        <v>5.8970000000000002</v>
      </c>
      <c r="EK6">
        <v>11.167999999999999</v>
      </c>
      <c r="EL6">
        <v>8.9700000000000006</v>
      </c>
      <c r="EM6">
        <v>10.765000000000001</v>
      </c>
      <c r="EN6">
        <v>10.42</v>
      </c>
      <c r="EO6">
        <v>11.763999999999999</v>
      </c>
      <c r="EP6">
        <v>8.3070000000000004</v>
      </c>
      <c r="EQ6">
        <v>6.31</v>
      </c>
      <c r="ER6">
        <v>11.129</v>
      </c>
      <c r="ES6">
        <v>11.656000000000001</v>
      </c>
      <c r="ET6">
        <v>10.43</v>
      </c>
      <c r="EU6">
        <v>10.997999999999999</v>
      </c>
      <c r="EV6">
        <v>9.359</v>
      </c>
      <c r="EW6">
        <v>10.202</v>
      </c>
      <c r="EX6">
        <v>10.773</v>
      </c>
      <c r="EY6">
        <v>10.236000000000001</v>
      </c>
      <c r="EZ6">
        <v>10.307</v>
      </c>
      <c r="FA6">
        <v>10.612</v>
      </c>
      <c r="FB6">
        <v>10.29</v>
      </c>
      <c r="FC6">
        <v>10.488</v>
      </c>
      <c r="FD6">
        <v>10.244999999999999</v>
      </c>
      <c r="FE6">
        <v>10.69</v>
      </c>
      <c r="FF6">
        <v>10.461</v>
      </c>
      <c r="FG6">
        <v>9.2279999999999998</v>
      </c>
      <c r="FH6">
        <v>6.8789999999999996</v>
      </c>
      <c r="FI6">
        <v>11.29</v>
      </c>
      <c r="FJ6">
        <v>10.128</v>
      </c>
      <c r="FK6">
        <v>6.681</v>
      </c>
      <c r="FL6">
        <v>11.48</v>
      </c>
      <c r="FM6">
        <v>10.254</v>
      </c>
      <c r="FN6">
        <v>9.9350000000000005</v>
      </c>
      <c r="FO6">
        <v>8.8930000000000007</v>
      </c>
      <c r="FP6">
        <v>9.8379999999999992</v>
      </c>
      <c r="FQ6">
        <v>9.4510000000000005</v>
      </c>
      <c r="FR6">
        <v>11.351000000000001</v>
      </c>
      <c r="FS6">
        <v>8.9960000000000004</v>
      </c>
      <c r="FT6">
        <v>11.007</v>
      </c>
      <c r="FU6">
        <v>11.081</v>
      </c>
      <c r="FV6">
        <v>10.513999999999999</v>
      </c>
      <c r="FW6">
        <v>9.6649999999999991</v>
      </c>
      <c r="FX6">
        <v>8.2170000000000005</v>
      </c>
      <c r="FY6">
        <v>10.693</v>
      </c>
      <c r="FZ6">
        <v>8.9179999999999993</v>
      </c>
      <c r="GA6">
        <v>1.8180000000000001</v>
      </c>
      <c r="GB6">
        <v>9.6790000000000003</v>
      </c>
      <c r="GC6">
        <v>11.326000000000001</v>
      </c>
      <c r="GD6">
        <v>9.1620000000000008</v>
      </c>
      <c r="GE6">
        <v>10.664</v>
      </c>
      <c r="GF6">
        <v>10.233000000000001</v>
      </c>
      <c r="GG6">
        <v>9.7370000000000001</v>
      </c>
      <c r="GH6">
        <v>10.420999999999999</v>
      </c>
      <c r="GI6">
        <v>10.103999999999999</v>
      </c>
      <c r="GJ6">
        <v>11.843</v>
      </c>
      <c r="GK6">
        <v>10.721</v>
      </c>
      <c r="GL6">
        <v>10.253</v>
      </c>
      <c r="GM6">
        <v>10.493</v>
      </c>
      <c r="GN6">
        <v>11.845000000000001</v>
      </c>
      <c r="GO6">
        <v>9.5359999999999996</v>
      </c>
      <c r="GP6">
        <v>10.448</v>
      </c>
      <c r="GQ6">
        <v>10.28</v>
      </c>
      <c r="GR6">
        <v>8.4960000000000004</v>
      </c>
      <c r="GS6">
        <v>10.775</v>
      </c>
      <c r="GT6">
        <v>9.3840000000000003</v>
      </c>
      <c r="GU6">
        <v>5.8920000000000003</v>
      </c>
      <c r="GV6">
        <v>10.503</v>
      </c>
      <c r="GW6">
        <v>11.561999999999999</v>
      </c>
      <c r="GX6">
        <v>11.01</v>
      </c>
      <c r="GY6">
        <v>9.3919999999999995</v>
      </c>
      <c r="GZ6">
        <v>8.91</v>
      </c>
      <c r="HA6">
        <v>9.9550000000000001</v>
      </c>
      <c r="HB6">
        <v>5.0129999999999999</v>
      </c>
      <c r="HC6">
        <v>6.1260000000000003</v>
      </c>
      <c r="HD6">
        <v>10.398</v>
      </c>
      <c r="HE6">
        <v>11.063000000000001</v>
      </c>
      <c r="HF6">
        <v>5.8289999999999997</v>
      </c>
      <c r="HG6">
        <v>10.625999999999999</v>
      </c>
      <c r="HH6">
        <v>8.5760000000000005</v>
      </c>
      <c r="HI6">
        <v>10.273999999999999</v>
      </c>
      <c r="HJ6">
        <v>10.706</v>
      </c>
      <c r="HK6">
        <v>11.282</v>
      </c>
      <c r="HL6">
        <v>12.048999999999999</v>
      </c>
      <c r="HM6">
        <v>7.7080000000000002</v>
      </c>
      <c r="HN6">
        <v>9.6829999999999998</v>
      </c>
      <c r="HO6">
        <v>6.9119999999999999</v>
      </c>
      <c r="HP6">
        <v>10.273</v>
      </c>
      <c r="HQ6">
        <v>11.103999999999999</v>
      </c>
      <c r="HR6">
        <v>6.64</v>
      </c>
      <c r="HS6">
        <v>8.1739999999999995</v>
      </c>
      <c r="HT6">
        <v>9.2100000000000009</v>
      </c>
      <c r="HU6">
        <v>9.9659999999999993</v>
      </c>
      <c r="HV6">
        <v>8.8190000000000008</v>
      </c>
      <c r="HW6">
        <v>11.196999999999999</v>
      </c>
      <c r="HX6">
        <v>10.157999999999999</v>
      </c>
      <c r="HY6">
        <v>10.631</v>
      </c>
      <c r="HZ6">
        <v>10.817</v>
      </c>
      <c r="IA6">
        <v>11.093</v>
      </c>
      <c r="IB6">
        <v>10.427</v>
      </c>
      <c r="IC6">
        <v>11.157999999999999</v>
      </c>
      <c r="ID6">
        <v>8.6020000000000003</v>
      </c>
      <c r="IE6">
        <v>10.839</v>
      </c>
      <c r="IF6">
        <v>9.8699999999999992</v>
      </c>
      <c r="IG6">
        <v>11.622999999999999</v>
      </c>
      <c r="IH6">
        <v>9.5749999999999993</v>
      </c>
      <c r="II6">
        <v>11.285</v>
      </c>
      <c r="IJ6">
        <v>10.59</v>
      </c>
      <c r="IK6">
        <v>10.672000000000001</v>
      </c>
      <c r="IL6">
        <v>10.696999999999999</v>
      </c>
      <c r="IM6">
        <v>10.134</v>
      </c>
      <c r="IN6">
        <v>9.282</v>
      </c>
      <c r="IO6">
        <v>9.9890000000000008</v>
      </c>
      <c r="IP6">
        <v>10.909000000000001</v>
      </c>
      <c r="IQ6">
        <v>4.9569999999999999</v>
      </c>
      <c r="IR6">
        <v>9.9459999999999997</v>
      </c>
      <c r="IS6">
        <v>11.048</v>
      </c>
      <c r="IT6">
        <v>11.038</v>
      </c>
      <c r="IU6">
        <v>11.707000000000001</v>
      </c>
      <c r="IV6">
        <v>9.5739999999999998</v>
      </c>
      <c r="IW6">
        <v>5.8769999999999998</v>
      </c>
      <c r="IX6">
        <v>10.699</v>
      </c>
      <c r="IY6">
        <v>10.647</v>
      </c>
      <c r="IZ6">
        <v>10.364000000000001</v>
      </c>
      <c r="JA6">
        <v>11.010999999999999</v>
      </c>
      <c r="JB6">
        <v>11.535</v>
      </c>
      <c r="JC6">
        <v>10.457000000000001</v>
      </c>
      <c r="JD6">
        <v>10.247</v>
      </c>
      <c r="JE6">
        <v>9.6630000000000003</v>
      </c>
      <c r="JF6">
        <v>10.208</v>
      </c>
      <c r="JG6">
        <v>11.218999999999999</v>
      </c>
      <c r="JH6">
        <v>9.9710000000000001</v>
      </c>
      <c r="JI6">
        <v>7.0350000000000001</v>
      </c>
      <c r="JJ6">
        <v>10.31</v>
      </c>
      <c r="JK6">
        <v>9.1880000000000006</v>
      </c>
      <c r="JL6">
        <v>10.805999999999999</v>
      </c>
      <c r="JM6">
        <v>9.4749999999999996</v>
      </c>
      <c r="JN6">
        <v>11.058999999999999</v>
      </c>
      <c r="JO6">
        <v>11.051</v>
      </c>
      <c r="JP6">
        <v>6.8879999999999999</v>
      </c>
      <c r="JQ6">
        <v>9.9459999999999997</v>
      </c>
      <c r="JR6">
        <v>10.769</v>
      </c>
      <c r="JS6">
        <v>10.146000000000001</v>
      </c>
      <c r="JT6">
        <v>11.413</v>
      </c>
      <c r="JU6">
        <v>10.776999999999999</v>
      </c>
      <c r="JV6">
        <v>10.321999999999999</v>
      </c>
      <c r="JW6">
        <v>11.295</v>
      </c>
      <c r="JX6">
        <v>10.898999999999999</v>
      </c>
      <c r="JY6">
        <v>3.1320000000000001</v>
      </c>
      <c r="JZ6">
        <v>5.9880000000000004</v>
      </c>
      <c r="KA6">
        <v>10.441000000000001</v>
      </c>
      <c r="KB6">
        <v>9.9740000000000002</v>
      </c>
      <c r="KC6">
        <v>11.006</v>
      </c>
      <c r="KD6">
        <v>10.428000000000001</v>
      </c>
      <c r="KE6">
        <v>8.3879999999999999</v>
      </c>
      <c r="KF6">
        <v>6.8760000000000003</v>
      </c>
      <c r="KG6">
        <v>11.718999999999999</v>
      </c>
      <c r="KH6">
        <v>9.6959999999999997</v>
      </c>
      <c r="KI6">
        <v>9.5739999999999998</v>
      </c>
      <c r="KJ6">
        <v>11.432</v>
      </c>
      <c r="KK6">
        <v>10.871</v>
      </c>
      <c r="KL6">
        <v>7.1470000000000002</v>
      </c>
      <c r="KM6">
        <v>6.1139999999999999</v>
      </c>
      <c r="KN6">
        <v>10.749000000000001</v>
      </c>
      <c r="KO6">
        <v>8.9689999999999994</v>
      </c>
      <c r="KP6">
        <v>10.861000000000001</v>
      </c>
      <c r="KQ6">
        <v>7.9320000000000004</v>
      </c>
      <c r="KR6">
        <v>8.3190000000000008</v>
      </c>
    </row>
    <row r="7" spans="1:304" x14ac:dyDescent="0.25">
      <c r="A7">
        <v>6</v>
      </c>
      <c r="C7">
        <v>7.8159999999999998</v>
      </c>
      <c r="D7">
        <v>15.432</v>
      </c>
      <c r="E7">
        <v>13.762</v>
      </c>
      <c r="F7">
        <v>13.96</v>
      </c>
      <c r="G7">
        <v>14.157</v>
      </c>
      <c r="H7">
        <v>15.475</v>
      </c>
      <c r="I7">
        <v>10.843999999999999</v>
      </c>
      <c r="J7">
        <v>11.84</v>
      </c>
      <c r="K7">
        <v>14.391</v>
      </c>
      <c r="L7">
        <v>13.48</v>
      </c>
      <c r="M7">
        <v>13.4</v>
      </c>
      <c r="N7">
        <v>13.285</v>
      </c>
      <c r="O7">
        <v>13.727</v>
      </c>
      <c r="P7">
        <v>14.247999999999999</v>
      </c>
      <c r="Q7">
        <v>12.255000000000001</v>
      </c>
      <c r="R7">
        <v>13.444000000000001</v>
      </c>
      <c r="S7">
        <v>12.853</v>
      </c>
      <c r="T7">
        <v>14.77</v>
      </c>
      <c r="U7">
        <v>13.907</v>
      </c>
      <c r="V7">
        <v>13.930999999999999</v>
      </c>
      <c r="W7">
        <v>14.755000000000001</v>
      </c>
      <c r="X7">
        <v>14.676</v>
      </c>
      <c r="Y7">
        <v>14.786</v>
      </c>
      <c r="Z7">
        <v>10.835000000000001</v>
      </c>
      <c r="AA7">
        <v>14.721</v>
      </c>
      <c r="AB7">
        <v>14.391999999999999</v>
      </c>
      <c r="AC7">
        <v>14.071</v>
      </c>
      <c r="AD7">
        <v>13.177</v>
      </c>
      <c r="AE7">
        <v>14.526</v>
      </c>
      <c r="AF7">
        <v>13.352</v>
      </c>
      <c r="AG7">
        <v>12.619</v>
      </c>
      <c r="AH7">
        <v>10.97</v>
      </c>
      <c r="AI7">
        <v>12.394</v>
      </c>
      <c r="AJ7">
        <v>13.927</v>
      </c>
      <c r="AK7">
        <v>13.773</v>
      </c>
      <c r="AL7">
        <v>14.343</v>
      </c>
      <c r="AM7">
        <v>14.555999999999999</v>
      </c>
      <c r="AN7">
        <v>14.069000000000001</v>
      </c>
      <c r="AO7">
        <v>14.007999999999999</v>
      </c>
      <c r="AP7">
        <v>14.888999999999999</v>
      </c>
      <c r="AQ7">
        <v>14.186</v>
      </c>
      <c r="AR7">
        <v>12.946</v>
      </c>
      <c r="AS7">
        <v>14.614000000000001</v>
      </c>
      <c r="AT7">
        <v>13.263</v>
      </c>
      <c r="AU7">
        <v>13.369</v>
      </c>
      <c r="AV7">
        <v>13.398</v>
      </c>
      <c r="AW7">
        <v>14.54</v>
      </c>
      <c r="AX7">
        <v>14.382</v>
      </c>
      <c r="AY7">
        <v>14.423999999999999</v>
      </c>
      <c r="AZ7">
        <v>10.513</v>
      </c>
      <c r="BA7">
        <v>13.176</v>
      </c>
      <c r="BB7">
        <v>12.368</v>
      </c>
      <c r="BC7">
        <v>14.500999999999999</v>
      </c>
      <c r="BD7">
        <v>12.874000000000001</v>
      </c>
      <c r="BE7">
        <v>15.342000000000001</v>
      </c>
      <c r="BF7">
        <v>13.976000000000001</v>
      </c>
      <c r="BG7">
        <v>10.074999999999999</v>
      </c>
      <c r="BH7">
        <v>10.983000000000001</v>
      </c>
      <c r="BI7">
        <v>13.329000000000001</v>
      </c>
      <c r="BJ7">
        <v>14.023</v>
      </c>
      <c r="BK7">
        <v>14.239000000000001</v>
      </c>
      <c r="BL7">
        <v>13.625999999999999</v>
      </c>
      <c r="BM7">
        <v>12.907</v>
      </c>
      <c r="BN7">
        <v>15.260999999999999</v>
      </c>
      <c r="BO7">
        <v>14.461</v>
      </c>
      <c r="BP7">
        <v>14.359</v>
      </c>
      <c r="BQ7">
        <v>11.686</v>
      </c>
      <c r="BR7">
        <v>14.23</v>
      </c>
      <c r="BS7">
        <v>13.763</v>
      </c>
      <c r="BT7">
        <v>11.983000000000001</v>
      </c>
      <c r="BU7">
        <v>10.848000000000001</v>
      </c>
      <c r="BV7">
        <v>13.27</v>
      </c>
      <c r="BW7">
        <v>14.586</v>
      </c>
      <c r="BX7">
        <v>8.2279999999999998</v>
      </c>
      <c r="BY7">
        <v>13.249000000000001</v>
      </c>
      <c r="BZ7">
        <v>13.153</v>
      </c>
      <c r="CA7">
        <v>13.842000000000001</v>
      </c>
      <c r="CB7">
        <v>13.234</v>
      </c>
      <c r="CC7">
        <v>13.981</v>
      </c>
      <c r="CD7">
        <v>13.971</v>
      </c>
      <c r="CE7">
        <v>12.659000000000001</v>
      </c>
      <c r="CF7">
        <v>13.49</v>
      </c>
      <c r="CG7">
        <v>12.577</v>
      </c>
      <c r="CH7">
        <v>15.827999999999999</v>
      </c>
      <c r="CI7">
        <v>11.548999999999999</v>
      </c>
      <c r="CJ7">
        <v>13.709</v>
      </c>
      <c r="CK7">
        <v>14.218999999999999</v>
      </c>
      <c r="CL7">
        <v>14.436999999999999</v>
      </c>
      <c r="CM7">
        <v>14.03</v>
      </c>
      <c r="CN7">
        <v>13.497999999999999</v>
      </c>
      <c r="CO7">
        <v>14.122</v>
      </c>
      <c r="CP7">
        <v>10.375</v>
      </c>
      <c r="CQ7">
        <v>12.849</v>
      </c>
      <c r="CR7">
        <v>14.941000000000001</v>
      </c>
      <c r="CS7">
        <v>13.678000000000001</v>
      </c>
      <c r="CT7">
        <v>12.010999999999999</v>
      </c>
      <c r="CU7">
        <v>14.52</v>
      </c>
      <c r="CV7">
        <v>10.146000000000001</v>
      </c>
      <c r="CW7">
        <v>14.912000000000001</v>
      </c>
      <c r="CX7">
        <v>14.68</v>
      </c>
      <c r="CY7">
        <v>15.712999999999999</v>
      </c>
      <c r="CZ7">
        <v>13.895</v>
      </c>
      <c r="DA7">
        <v>13.705</v>
      </c>
      <c r="DB7">
        <v>13.705</v>
      </c>
      <c r="DC7">
        <v>14.154</v>
      </c>
      <c r="DD7">
        <v>13.728999999999999</v>
      </c>
      <c r="DE7">
        <v>8.3719999999999999</v>
      </c>
      <c r="DF7">
        <v>15.641999999999999</v>
      </c>
      <c r="DG7">
        <v>13.814</v>
      </c>
      <c r="DH7">
        <v>14.122999999999999</v>
      </c>
      <c r="DI7">
        <v>12.622</v>
      </c>
      <c r="DJ7">
        <v>11.651999999999999</v>
      </c>
      <c r="DK7">
        <v>14.977</v>
      </c>
      <c r="DL7">
        <v>13.85</v>
      </c>
      <c r="DM7">
        <v>15.327</v>
      </c>
      <c r="DN7">
        <v>14.03</v>
      </c>
      <c r="DO7">
        <v>14.599</v>
      </c>
      <c r="DP7">
        <v>13.946</v>
      </c>
      <c r="DQ7">
        <v>9.1080000000000005</v>
      </c>
      <c r="DR7">
        <v>15.246</v>
      </c>
      <c r="DS7">
        <v>14.586</v>
      </c>
      <c r="DT7">
        <v>14.154999999999999</v>
      </c>
      <c r="DU7">
        <v>14.705</v>
      </c>
      <c r="DV7">
        <v>15.38</v>
      </c>
      <c r="DW7">
        <v>13.59</v>
      </c>
      <c r="DX7">
        <v>12.689</v>
      </c>
      <c r="DY7">
        <v>13.666</v>
      </c>
      <c r="DZ7">
        <v>13.257</v>
      </c>
      <c r="EA7">
        <v>14.013</v>
      </c>
      <c r="EB7">
        <v>13.877000000000001</v>
      </c>
      <c r="EC7">
        <v>14.29</v>
      </c>
      <c r="ED7">
        <v>14.05</v>
      </c>
      <c r="EE7">
        <v>14.558999999999999</v>
      </c>
      <c r="EF7">
        <v>14.794</v>
      </c>
      <c r="EG7">
        <v>14.3</v>
      </c>
      <c r="EH7">
        <v>14.789</v>
      </c>
      <c r="EI7">
        <v>12.442</v>
      </c>
      <c r="EJ7">
        <v>11.742000000000001</v>
      </c>
      <c r="EK7">
        <v>14.682</v>
      </c>
      <c r="EL7">
        <v>11.552</v>
      </c>
      <c r="EM7">
        <v>14.516999999999999</v>
      </c>
      <c r="EN7">
        <v>13.834</v>
      </c>
      <c r="EO7">
        <v>14.617000000000001</v>
      </c>
      <c r="EP7">
        <v>13.773999999999999</v>
      </c>
      <c r="EQ7">
        <v>12.73</v>
      </c>
      <c r="ER7">
        <v>14.039</v>
      </c>
      <c r="ES7">
        <v>13.89</v>
      </c>
      <c r="ET7">
        <v>14.295999999999999</v>
      </c>
      <c r="EU7">
        <v>13.775</v>
      </c>
      <c r="EV7">
        <v>13.792999999999999</v>
      </c>
      <c r="EW7">
        <v>14.208</v>
      </c>
      <c r="EX7">
        <v>14</v>
      </c>
      <c r="EY7">
        <v>13.433999999999999</v>
      </c>
      <c r="EZ7">
        <v>15.51</v>
      </c>
      <c r="FA7">
        <v>13.999000000000001</v>
      </c>
      <c r="FB7">
        <v>14.510999999999999</v>
      </c>
      <c r="FC7">
        <v>14.244999999999999</v>
      </c>
      <c r="FD7">
        <v>14.131</v>
      </c>
      <c r="FE7">
        <v>14.702999999999999</v>
      </c>
      <c r="FF7">
        <v>14.368</v>
      </c>
      <c r="FG7">
        <v>13.076000000000001</v>
      </c>
      <c r="FH7">
        <v>13.628</v>
      </c>
      <c r="FI7">
        <v>14.461</v>
      </c>
      <c r="FJ7">
        <v>13.17</v>
      </c>
      <c r="FK7">
        <v>13.327999999999999</v>
      </c>
      <c r="FL7">
        <v>14.068</v>
      </c>
      <c r="FM7">
        <v>14.256</v>
      </c>
      <c r="FN7">
        <v>13.992000000000001</v>
      </c>
      <c r="FO7">
        <v>14.032</v>
      </c>
      <c r="FP7">
        <v>13.382999999999999</v>
      </c>
      <c r="FQ7">
        <v>13.291</v>
      </c>
      <c r="FR7">
        <v>14.441000000000001</v>
      </c>
      <c r="FS7">
        <v>12.433999999999999</v>
      </c>
      <c r="FT7">
        <v>14.483000000000001</v>
      </c>
      <c r="FU7">
        <v>14.175000000000001</v>
      </c>
      <c r="FV7">
        <v>14.523</v>
      </c>
      <c r="FW7">
        <v>14.853999999999999</v>
      </c>
      <c r="FX7">
        <v>12.644</v>
      </c>
      <c r="FY7">
        <v>13.750999999999999</v>
      </c>
      <c r="FZ7">
        <v>11.239000000000001</v>
      </c>
      <c r="GA7">
        <v>8.4030000000000005</v>
      </c>
      <c r="GB7">
        <v>14.106</v>
      </c>
      <c r="GC7">
        <v>14.518000000000001</v>
      </c>
      <c r="GD7">
        <v>13.106999999999999</v>
      </c>
      <c r="GE7">
        <v>13.632</v>
      </c>
      <c r="GF7">
        <v>15.472</v>
      </c>
      <c r="GG7">
        <v>13.413</v>
      </c>
      <c r="GH7">
        <v>14.013999999999999</v>
      </c>
      <c r="GI7">
        <v>13.919</v>
      </c>
      <c r="GJ7">
        <v>14.409000000000001</v>
      </c>
      <c r="GK7">
        <v>13.593999999999999</v>
      </c>
      <c r="GL7">
        <v>14.558999999999999</v>
      </c>
      <c r="GM7">
        <v>13.065</v>
      </c>
      <c r="GN7">
        <v>14.363</v>
      </c>
      <c r="GO7">
        <v>12.747</v>
      </c>
      <c r="GP7">
        <v>14.079000000000001</v>
      </c>
      <c r="GQ7">
        <v>12.819000000000001</v>
      </c>
      <c r="GR7">
        <v>12.689</v>
      </c>
      <c r="GS7">
        <v>15.012</v>
      </c>
      <c r="GT7">
        <v>14.672000000000001</v>
      </c>
      <c r="GU7">
        <v>11.840999999999999</v>
      </c>
      <c r="GV7">
        <v>14.676</v>
      </c>
      <c r="GW7">
        <v>13.856</v>
      </c>
      <c r="GX7">
        <v>14.384</v>
      </c>
      <c r="GY7">
        <v>14.628</v>
      </c>
      <c r="GZ7">
        <v>14.272</v>
      </c>
      <c r="HA7">
        <v>13.635</v>
      </c>
      <c r="HB7">
        <v>8.7880000000000003</v>
      </c>
      <c r="HC7">
        <v>9.8819999999999997</v>
      </c>
      <c r="HD7">
        <v>15.685</v>
      </c>
      <c r="HE7">
        <v>13.65</v>
      </c>
      <c r="HF7">
        <v>10.403</v>
      </c>
      <c r="HG7">
        <v>14.851000000000001</v>
      </c>
      <c r="HH7">
        <v>12.499000000000001</v>
      </c>
      <c r="HI7">
        <v>13.456</v>
      </c>
      <c r="HJ7">
        <v>13.7</v>
      </c>
      <c r="HK7">
        <v>14.323</v>
      </c>
      <c r="HL7">
        <v>14.329000000000001</v>
      </c>
      <c r="HM7">
        <v>12.362</v>
      </c>
      <c r="HN7">
        <v>13.853999999999999</v>
      </c>
      <c r="HO7">
        <v>10.784000000000001</v>
      </c>
      <c r="HP7">
        <v>14.177</v>
      </c>
      <c r="HQ7">
        <v>13.677</v>
      </c>
      <c r="HR7">
        <v>11.446999999999999</v>
      </c>
      <c r="HS7">
        <v>12.009</v>
      </c>
      <c r="HT7">
        <v>13.375</v>
      </c>
      <c r="HU7">
        <v>13.589</v>
      </c>
      <c r="HV7">
        <v>12.766999999999999</v>
      </c>
      <c r="HW7">
        <v>14.858000000000001</v>
      </c>
      <c r="HX7">
        <v>14.287000000000001</v>
      </c>
      <c r="HY7">
        <v>14.013999999999999</v>
      </c>
      <c r="HZ7">
        <v>14.757999999999999</v>
      </c>
      <c r="IA7">
        <v>12.847</v>
      </c>
      <c r="IB7">
        <v>13.250999999999999</v>
      </c>
      <c r="IC7">
        <v>13.686999999999999</v>
      </c>
      <c r="ID7">
        <v>12.353</v>
      </c>
      <c r="IE7">
        <v>14.34</v>
      </c>
      <c r="IF7">
        <v>13.965999999999999</v>
      </c>
      <c r="IG7">
        <v>14.365</v>
      </c>
      <c r="IH7">
        <v>14.638</v>
      </c>
      <c r="II7">
        <v>14.205</v>
      </c>
      <c r="IJ7">
        <v>12.657</v>
      </c>
      <c r="IK7">
        <v>13.606999999999999</v>
      </c>
      <c r="IL7">
        <v>14.275</v>
      </c>
      <c r="IM7">
        <v>14.491</v>
      </c>
      <c r="IN7">
        <v>13.529</v>
      </c>
      <c r="IO7">
        <v>13.782999999999999</v>
      </c>
      <c r="IP7">
        <v>14.654999999999999</v>
      </c>
      <c r="IQ7">
        <v>8.2119999999999997</v>
      </c>
      <c r="IR7">
        <v>13.372</v>
      </c>
      <c r="IS7">
        <v>13.888</v>
      </c>
      <c r="IT7">
        <v>15.307</v>
      </c>
      <c r="IU7">
        <v>14.949</v>
      </c>
      <c r="IV7">
        <v>13.042999999999999</v>
      </c>
      <c r="IW7">
        <v>13.968</v>
      </c>
      <c r="IX7">
        <v>15.733000000000001</v>
      </c>
      <c r="IY7">
        <v>14.944000000000001</v>
      </c>
      <c r="IZ7">
        <v>13.805999999999999</v>
      </c>
      <c r="JA7">
        <v>13.821999999999999</v>
      </c>
      <c r="JB7">
        <v>12.965</v>
      </c>
      <c r="JC7">
        <v>14.654</v>
      </c>
      <c r="JD7">
        <v>14.532999999999999</v>
      </c>
      <c r="JE7">
        <v>13.002000000000001</v>
      </c>
      <c r="JF7">
        <v>13.692</v>
      </c>
      <c r="JG7">
        <v>14.885</v>
      </c>
      <c r="JH7">
        <v>13.407</v>
      </c>
      <c r="JI7">
        <v>11.897</v>
      </c>
      <c r="JJ7">
        <v>13.618</v>
      </c>
      <c r="JK7">
        <v>12.989000000000001</v>
      </c>
      <c r="JL7">
        <v>15.108000000000001</v>
      </c>
      <c r="JM7">
        <v>13.718</v>
      </c>
      <c r="JN7">
        <v>13.617000000000001</v>
      </c>
      <c r="JO7">
        <v>14.526</v>
      </c>
      <c r="JP7">
        <v>14.052</v>
      </c>
      <c r="JQ7">
        <v>13.907</v>
      </c>
      <c r="JR7">
        <v>13.484999999999999</v>
      </c>
      <c r="JS7">
        <v>14.497999999999999</v>
      </c>
      <c r="JT7">
        <v>14.113</v>
      </c>
      <c r="JU7">
        <v>14.307</v>
      </c>
      <c r="JV7">
        <v>13.015000000000001</v>
      </c>
      <c r="JW7">
        <v>14.073</v>
      </c>
      <c r="JX7">
        <v>13.576000000000001</v>
      </c>
      <c r="JY7">
        <v>3.1320000000000001</v>
      </c>
      <c r="JZ7">
        <v>9.4849999999999994</v>
      </c>
      <c r="KA7">
        <v>13.827</v>
      </c>
      <c r="KB7">
        <v>13.602</v>
      </c>
      <c r="KC7">
        <v>14.497999999999999</v>
      </c>
      <c r="KD7">
        <v>13.98</v>
      </c>
      <c r="KE7">
        <v>12.587</v>
      </c>
      <c r="KF7">
        <v>12.329000000000001</v>
      </c>
      <c r="KG7">
        <v>14.247</v>
      </c>
      <c r="KH7">
        <v>14.301</v>
      </c>
      <c r="KI7">
        <v>14.298999999999999</v>
      </c>
      <c r="KJ7">
        <v>15.45</v>
      </c>
      <c r="KK7">
        <v>14.321999999999999</v>
      </c>
      <c r="KL7">
        <v>13.478999999999999</v>
      </c>
      <c r="KM7">
        <v>11.9</v>
      </c>
      <c r="KN7">
        <v>14.27</v>
      </c>
      <c r="KO7">
        <v>13.571999999999999</v>
      </c>
      <c r="KP7">
        <v>13.211</v>
      </c>
      <c r="KQ7">
        <v>12.936999999999999</v>
      </c>
      <c r="KR7">
        <v>12.567</v>
      </c>
    </row>
    <row r="8" spans="1:304" x14ac:dyDescent="0.25">
      <c r="A8">
        <v>7</v>
      </c>
      <c r="C8">
        <v>11.045</v>
      </c>
      <c r="D8">
        <v>16.884</v>
      </c>
      <c r="E8">
        <v>17.084</v>
      </c>
      <c r="F8">
        <v>16.768999999999998</v>
      </c>
      <c r="G8">
        <v>16.637</v>
      </c>
      <c r="H8">
        <v>17.798999999999999</v>
      </c>
      <c r="I8">
        <v>12.734</v>
      </c>
      <c r="J8">
        <v>14.547000000000001</v>
      </c>
      <c r="K8">
        <v>16.87</v>
      </c>
      <c r="L8">
        <v>17.048999999999999</v>
      </c>
      <c r="M8">
        <v>16.329999999999998</v>
      </c>
      <c r="N8">
        <v>16.331</v>
      </c>
      <c r="O8">
        <v>15.111000000000001</v>
      </c>
      <c r="P8">
        <v>17.61</v>
      </c>
      <c r="Q8">
        <v>15.164999999999999</v>
      </c>
      <c r="R8">
        <v>16.863</v>
      </c>
      <c r="S8">
        <v>15.298999999999999</v>
      </c>
      <c r="T8">
        <v>17.050999999999998</v>
      </c>
      <c r="U8">
        <v>17.222000000000001</v>
      </c>
      <c r="V8">
        <v>16.195</v>
      </c>
      <c r="W8">
        <v>16.768999999999998</v>
      </c>
      <c r="X8">
        <v>17.841999999999999</v>
      </c>
      <c r="Y8">
        <v>17.768999999999998</v>
      </c>
      <c r="Z8">
        <v>15.185</v>
      </c>
      <c r="AA8">
        <v>17.919</v>
      </c>
      <c r="AB8">
        <v>17.649999999999999</v>
      </c>
      <c r="AC8">
        <v>15.79</v>
      </c>
      <c r="AD8">
        <v>16.495000000000001</v>
      </c>
      <c r="AE8">
        <v>17.457999999999998</v>
      </c>
      <c r="AF8">
        <v>16.146999999999998</v>
      </c>
      <c r="AG8">
        <v>14.904</v>
      </c>
      <c r="AH8">
        <v>14.698</v>
      </c>
      <c r="AI8">
        <v>14.785</v>
      </c>
      <c r="AJ8">
        <v>15.728999999999999</v>
      </c>
      <c r="AK8">
        <v>16.893999999999998</v>
      </c>
      <c r="AL8">
        <v>16.831</v>
      </c>
      <c r="AM8">
        <v>18.154</v>
      </c>
      <c r="AN8">
        <v>17.763000000000002</v>
      </c>
      <c r="AO8">
        <v>16.562000000000001</v>
      </c>
      <c r="AP8">
        <v>17.120999999999999</v>
      </c>
      <c r="AQ8">
        <v>18.125</v>
      </c>
      <c r="AR8">
        <v>16.420999999999999</v>
      </c>
      <c r="AS8">
        <v>17.821999999999999</v>
      </c>
      <c r="AT8">
        <v>15.287000000000001</v>
      </c>
      <c r="AU8">
        <v>15.52</v>
      </c>
      <c r="AV8">
        <v>16.297000000000001</v>
      </c>
      <c r="AW8">
        <v>16.54</v>
      </c>
      <c r="AX8">
        <v>16.814</v>
      </c>
      <c r="AY8">
        <v>15.092000000000001</v>
      </c>
      <c r="AZ8">
        <v>15.571</v>
      </c>
      <c r="BA8">
        <v>17.414999999999999</v>
      </c>
      <c r="BB8">
        <v>14.1</v>
      </c>
      <c r="BC8">
        <v>14.218</v>
      </c>
      <c r="BD8">
        <v>17.236000000000001</v>
      </c>
      <c r="BE8">
        <v>16.957999999999998</v>
      </c>
      <c r="BF8">
        <v>15.884</v>
      </c>
      <c r="BG8">
        <v>13.824</v>
      </c>
      <c r="BH8">
        <v>12.526999999999999</v>
      </c>
      <c r="BI8">
        <v>17.72</v>
      </c>
      <c r="BJ8">
        <v>17.879000000000001</v>
      </c>
      <c r="BK8">
        <v>17.565999999999999</v>
      </c>
      <c r="BL8">
        <v>16.731999999999999</v>
      </c>
      <c r="BM8">
        <v>15.984999999999999</v>
      </c>
      <c r="BN8">
        <v>16.571999999999999</v>
      </c>
      <c r="BO8">
        <v>17.100999999999999</v>
      </c>
      <c r="BP8">
        <v>17.850000000000001</v>
      </c>
      <c r="BQ8">
        <v>13.568</v>
      </c>
      <c r="BR8">
        <v>16.457999999999998</v>
      </c>
      <c r="BS8">
        <v>16.777999999999999</v>
      </c>
      <c r="BT8">
        <v>16.109000000000002</v>
      </c>
      <c r="BU8">
        <v>13.506</v>
      </c>
      <c r="BV8">
        <v>15.864000000000001</v>
      </c>
      <c r="BW8">
        <v>17.861000000000001</v>
      </c>
      <c r="BX8">
        <v>11.611000000000001</v>
      </c>
      <c r="BY8">
        <v>18.260999999999999</v>
      </c>
      <c r="BZ8">
        <v>16.585000000000001</v>
      </c>
      <c r="CA8">
        <v>16.513000000000002</v>
      </c>
      <c r="CB8">
        <v>15.51</v>
      </c>
      <c r="CC8">
        <v>16.111999999999998</v>
      </c>
      <c r="CD8">
        <v>16.236000000000001</v>
      </c>
      <c r="CE8">
        <v>15.439</v>
      </c>
      <c r="CF8">
        <v>18.021000000000001</v>
      </c>
      <c r="CG8">
        <v>17.227</v>
      </c>
      <c r="CH8">
        <v>15.728</v>
      </c>
      <c r="CI8">
        <v>15.321999999999999</v>
      </c>
      <c r="CJ8">
        <v>17.010000000000002</v>
      </c>
      <c r="CK8">
        <v>17.513999999999999</v>
      </c>
      <c r="CL8">
        <v>16.184000000000001</v>
      </c>
      <c r="CM8">
        <v>18.577999999999999</v>
      </c>
      <c r="CN8">
        <v>17.463000000000001</v>
      </c>
      <c r="CO8">
        <v>17.568999999999999</v>
      </c>
      <c r="CP8">
        <v>14.871</v>
      </c>
      <c r="CQ8">
        <v>14.669</v>
      </c>
      <c r="CR8">
        <v>17.744</v>
      </c>
      <c r="CS8">
        <v>16.579999999999998</v>
      </c>
      <c r="CT8">
        <v>16.102</v>
      </c>
      <c r="CU8">
        <v>18.933</v>
      </c>
      <c r="CV8">
        <v>13.624000000000001</v>
      </c>
      <c r="CW8">
        <v>16.550999999999998</v>
      </c>
      <c r="CX8">
        <v>17.718</v>
      </c>
      <c r="CY8">
        <v>16.152999999999999</v>
      </c>
      <c r="CZ8">
        <v>17.221</v>
      </c>
      <c r="DA8">
        <v>17.228999999999999</v>
      </c>
      <c r="DB8">
        <v>17.228999999999999</v>
      </c>
      <c r="DC8">
        <v>15.832000000000001</v>
      </c>
      <c r="DD8">
        <v>17.282</v>
      </c>
      <c r="DE8">
        <v>12.532999999999999</v>
      </c>
      <c r="DF8">
        <v>16.538</v>
      </c>
      <c r="DG8">
        <v>17.356999999999999</v>
      </c>
      <c r="DH8">
        <v>16.96</v>
      </c>
      <c r="DI8">
        <v>16.805</v>
      </c>
      <c r="DJ8">
        <v>15.058999999999999</v>
      </c>
      <c r="DK8">
        <v>18.099</v>
      </c>
      <c r="DL8">
        <v>16.334</v>
      </c>
      <c r="DM8">
        <v>16.878</v>
      </c>
      <c r="DN8">
        <v>17.329999999999998</v>
      </c>
      <c r="DO8">
        <v>17.943999999999999</v>
      </c>
      <c r="DP8">
        <v>17.728999999999999</v>
      </c>
      <c r="DQ8">
        <v>11.744</v>
      </c>
      <c r="DR8">
        <v>18.055</v>
      </c>
      <c r="DS8">
        <v>17.925999999999998</v>
      </c>
      <c r="DT8">
        <v>17.521000000000001</v>
      </c>
      <c r="DU8">
        <v>16.279</v>
      </c>
      <c r="DV8">
        <v>17.094999999999999</v>
      </c>
      <c r="DW8">
        <v>17.29</v>
      </c>
      <c r="DX8">
        <v>14.701000000000001</v>
      </c>
      <c r="DY8">
        <v>17.010000000000002</v>
      </c>
      <c r="DZ8">
        <v>16.776</v>
      </c>
      <c r="EA8">
        <v>17.488</v>
      </c>
      <c r="EB8">
        <v>17.167000000000002</v>
      </c>
      <c r="EC8">
        <v>16.844999999999999</v>
      </c>
      <c r="ED8">
        <v>17.324000000000002</v>
      </c>
      <c r="EE8">
        <v>16.43</v>
      </c>
      <c r="EF8">
        <v>17.279</v>
      </c>
      <c r="EG8">
        <v>17.206</v>
      </c>
      <c r="EH8">
        <v>18.497</v>
      </c>
      <c r="EI8">
        <v>15.609</v>
      </c>
      <c r="EJ8">
        <v>16.035</v>
      </c>
      <c r="EK8">
        <v>17.696000000000002</v>
      </c>
      <c r="EL8">
        <v>14.587999999999999</v>
      </c>
      <c r="EM8">
        <v>16.32</v>
      </c>
      <c r="EN8">
        <v>17.03</v>
      </c>
      <c r="EO8">
        <v>18.353999999999999</v>
      </c>
      <c r="EP8">
        <v>16.047999999999998</v>
      </c>
      <c r="EQ8">
        <v>15.275</v>
      </c>
      <c r="ER8">
        <v>16.577999999999999</v>
      </c>
      <c r="ES8">
        <v>17.227</v>
      </c>
      <c r="ET8">
        <v>15.786</v>
      </c>
      <c r="EU8">
        <v>17.457999999999998</v>
      </c>
      <c r="EV8">
        <v>15.858000000000001</v>
      </c>
      <c r="EW8">
        <v>17.013000000000002</v>
      </c>
      <c r="EX8">
        <v>17.777999999999999</v>
      </c>
      <c r="EY8">
        <v>16.687000000000001</v>
      </c>
      <c r="EZ8">
        <v>16.922000000000001</v>
      </c>
      <c r="FA8">
        <v>17.917000000000002</v>
      </c>
      <c r="FB8">
        <v>19.111999999999998</v>
      </c>
      <c r="FC8">
        <v>17.114000000000001</v>
      </c>
      <c r="FD8">
        <v>16.989000000000001</v>
      </c>
      <c r="FE8">
        <v>17.120999999999999</v>
      </c>
      <c r="FF8">
        <v>16.588000000000001</v>
      </c>
      <c r="FG8">
        <v>15.593999999999999</v>
      </c>
      <c r="FH8">
        <v>16.024999999999999</v>
      </c>
      <c r="FI8">
        <v>18.701000000000001</v>
      </c>
      <c r="FJ8">
        <v>16.148</v>
      </c>
      <c r="FK8">
        <v>15.342000000000001</v>
      </c>
      <c r="FL8">
        <v>16.927</v>
      </c>
      <c r="FM8">
        <v>16.015000000000001</v>
      </c>
      <c r="FN8">
        <v>16.344000000000001</v>
      </c>
      <c r="FO8">
        <v>16.111000000000001</v>
      </c>
      <c r="FP8">
        <v>15.683999999999999</v>
      </c>
      <c r="FQ8">
        <v>15.507</v>
      </c>
      <c r="FR8">
        <v>17.126999999999999</v>
      </c>
      <c r="FS8">
        <v>14.576000000000001</v>
      </c>
      <c r="FT8">
        <v>18.001999999999999</v>
      </c>
      <c r="FU8">
        <v>17.004000000000001</v>
      </c>
      <c r="FV8">
        <v>18.803999999999998</v>
      </c>
      <c r="FW8">
        <v>18.398</v>
      </c>
      <c r="FX8">
        <v>14.853</v>
      </c>
      <c r="FY8">
        <v>17.082999999999998</v>
      </c>
      <c r="FZ8">
        <v>15.503</v>
      </c>
      <c r="GA8">
        <v>11.536</v>
      </c>
      <c r="GB8">
        <v>15.388</v>
      </c>
      <c r="GC8">
        <v>18.603000000000002</v>
      </c>
      <c r="GD8">
        <v>15.065</v>
      </c>
      <c r="GE8">
        <v>17.12</v>
      </c>
      <c r="GF8">
        <v>18.97</v>
      </c>
      <c r="GG8">
        <v>15.913</v>
      </c>
      <c r="GH8">
        <v>17.257999999999999</v>
      </c>
      <c r="GI8">
        <v>16.722999999999999</v>
      </c>
      <c r="GJ8">
        <v>16.649999999999999</v>
      </c>
      <c r="GK8">
        <v>16.443999999999999</v>
      </c>
      <c r="GL8">
        <v>15.446</v>
      </c>
      <c r="GM8">
        <v>14.946999999999999</v>
      </c>
      <c r="GN8">
        <v>17.393000000000001</v>
      </c>
      <c r="GO8">
        <v>16.831</v>
      </c>
      <c r="GP8">
        <v>17.013000000000002</v>
      </c>
      <c r="GQ8">
        <v>15.795999999999999</v>
      </c>
      <c r="GR8">
        <v>15.003</v>
      </c>
      <c r="GS8">
        <v>17.585000000000001</v>
      </c>
      <c r="GT8">
        <v>16.997</v>
      </c>
      <c r="GU8">
        <v>12.967000000000001</v>
      </c>
      <c r="GV8">
        <v>17.274000000000001</v>
      </c>
      <c r="GW8">
        <v>17.707000000000001</v>
      </c>
      <c r="GX8">
        <v>17.285</v>
      </c>
      <c r="GY8">
        <v>17.399000000000001</v>
      </c>
      <c r="GZ8">
        <v>16.673999999999999</v>
      </c>
      <c r="HA8">
        <v>15.888999999999999</v>
      </c>
      <c r="HB8">
        <v>12.943</v>
      </c>
      <c r="HC8">
        <v>14.635999999999999</v>
      </c>
      <c r="HD8">
        <v>17.047999999999998</v>
      </c>
      <c r="HE8">
        <v>16.524999999999999</v>
      </c>
      <c r="HF8">
        <v>14.147</v>
      </c>
      <c r="HG8">
        <v>17.629000000000001</v>
      </c>
      <c r="HH8">
        <v>15.698</v>
      </c>
      <c r="HI8">
        <v>16.573</v>
      </c>
      <c r="HJ8">
        <v>16.449000000000002</v>
      </c>
      <c r="HK8">
        <v>17.577999999999999</v>
      </c>
      <c r="HL8">
        <v>17.731000000000002</v>
      </c>
      <c r="HM8">
        <v>14.595000000000001</v>
      </c>
      <c r="HN8">
        <v>16.309000000000001</v>
      </c>
      <c r="HO8">
        <v>13.159000000000001</v>
      </c>
      <c r="HP8">
        <v>16.484000000000002</v>
      </c>
      <c r="HQ8">
        <v>17.021000000000001</v>
      </c>
      <c r="HR8">
        <v>14.874000000000001</v>
      </c>
      <c r="HS8">
        <v>12.506</v>
      </c>
      <c r="HT8">
        <v>15.294</v>
      </c>
      <c r="HU8">
        <v>15.848000000000001</v>
      </c>
      <c r="HV8">
        <v>15.252000000000001</v>
      </c>
      <c r="HW8">
        <v>18.288</v>
      </c>
      <c r="HX8">
        <v>16.849</v>
      </c>
      <c r="HY8">
        <v>16.513999999999999</v>
      </c>
      <c r="HZ8">
        <v>16.04</v>
      </c>
      <c r="IA8">
        <v>17.138000000000002</v>
      </c>
      <c r="IB8">
        <v>17</v>
      </c>
      <c r="IC8">
        <v>16.79</v>
      </c>
      <c r="ID8">
        <v>17.271000000000001</v>
      </c>
      <c r="IE8">
        <v>16.812999999999999</v>
      </c>
      <c r="IF8">
        <v>17.172999999999998</v>
      </c>
      <c r="IG8">
        <v>17.341000000000001</v>
      </c>
      <c r="IH8">
        <v>16.956</v>
      </c>
      <c r="II8">
        <v>17.106999999999999</v>
      </c>
      <c r="IJ8">
        <v>16.920999999999999</v>
      </c>
      <c r="IK8">
        <v>15.808</v>
      </c>
      <c r="IL8">
        <v>17.678000000000001</v>
      </c>
      <c r="IM8">
        <v>16.739999999999998</v>
      </c>
      <c r="IN8">
        <v>18.265999999999998</v>
      </c>
      <c r="IO8">
        <v>16.634</v>
      </c>
      <c r="IP8">
        <v>17.321000000000002</v>
      </c>
      <c r="IQ8">
        <v>12.048</v>
      </c>
      <c r="IR8">
        <v>16.556999999999999</v>
      </c>
      <c r="IS8">
        <v>16.298999999999999</v>
      </c>
      <c r="IT8">
        <v>18.033000000000001</v>
      </c>
      <c r="IU8">
        <v>16.946999999999999</v>
      </c>
      <c r="IV8">
        <v>16.155000000000001</v>
      </c>
      <c r="IW8">
        <v>15.269</v>
      </c>
      <c r="IX8">
        <v>17.34</v>
      </c>
      <c r="IY8">
        <v>17.47</v>
      </c>
      <c r="IZ8">
        <v>18.806000000000001</v>
      </c>
      <c r="JA8">
        <v>16.306999999999999</v>
      </c>
      <c r="JB8">
        <v>16.11</v>
      </c>
      <c r="JC8">
        <v>18.242000000000001</v>
      </c>
      <c r="JD8">
        <v>17.123999999999999</v>
      </c>
      <c r="JE8">
        <v>16.396000000000001</v>
      </c>
      <c r="JF8">
        <v>16.785</v>
      </c>
      <c r="JG8">
        <v>15.853999999999999</v>
      </c>
      <c r="JH8">
        <v>16.564</v>
      </c>
      <c r="JI8">
        <v>12.548</v>
      </c>
      <c r="JJ8">
        <v>18.047999999999998</v>
      </c>
      <c r="JK8">
        <v>16.010000000000002</v>
      </c>
      <c r="JL8">
        <v>16.574000000000002</v>
      </c>
      <c r="JM8">
        <v>19.050999999999998</v>
      </c>
      <c r="JN8">
        <v>16.61</v>
      </c>
      <c r="JO8">
        <v>16.614999999999998</v>
      </c>
      <c r="JP8">
        <v>15.73</v>
      </c>
      <c r="JQ8">
        <v>16.927</v>
      </c>
      <c r="JR8">
        <v>16.486999999999998</v>
      </c>
      <c r="JS8">
        <v>18.664000000000001</v>
      </c>
      <c r="JT8">
        <v>15.977</v>
      </c>
      <c r="JU8">
        <v>16.719000000000001</v>
      </c>
      <c r="JV8">
        <v>16.018999999999998</v>
      </c>
      <c r="JW8">
        <v>16.66</v>
      </c>
      <c r="JX8">
        <v>17.513000000000002</v>
      </c>
      <c r="JY8">
        <v>3.1320000000000001</v>
      </c>
      <c r="JZ8">
        <v>12.728</v>
      </c>
      <c r="KA8">
        <v>15.878</v>
      </c>
      <c r="KB8">
        <v>16.989000000000001</v>
      </c>
      <c r="KC8">
        <v>16.395</v>
      </c>
      <c r="KD8">
        <v>16.832000000000001</v>
      </c>
      <c r="KE8">
        <v>14.638999999999999</v>
      </c>
      <c r="KF8">
        <v>15.246</v>
      </c>
      <c r="KG8">
        <v>17.777000000000001</v>
      </c>
      <c r="KH8">
        <v>17.396999999999998</v>
      </c>
      <c r="KI8">
        <v>17.239999999999998</v>
      </c>
      <c r="KJ8">
        <v>17.257999999999999</v>
      </c>
      <c r="KK8">
        <v>17.055</v>
      </c>
      <c r="KL8">
        <v>15.435</v>
      </c>
      <c r="KM8">
        <v>15.208</v>
      </c>
      <c r="KN8">
        <v>16.408000000000001</v>
      </c>
      <c r="KO8">
        <v>16.881</v>
      </c>
      <c r="KP8">
        <v>15.744</v>
      </c>
      <c r="KQ8">
        <v>15.254</v>
      </c>
      <c r="KR8">
        <v>15.515000000000001</v>
      </c>
    </row>
    <row r="9" spans="1:304" x14ac:dyDescent="0.25">
      <c r="A9">
        <v>8</v>
      </c>
      <c r="C9">
        <v>9.2929999999999993</v>
      </c>
      <c r="D9">
        <v>16.648</v>
      </c>
      <c r="E9">
        <v>16.867000000000001</v>
      </c>
      <c r="F9">
        <v>16.292000000000002</v>
      </c>
      <c r="G9">
        <v>15.87</v>
      </c>
      <c r="H9">
        <v>16.077000000000002</v>
      </c>
      <c r="I9">
        <v>10.696</v>
      </c>
      <c r="J9">
        <v>10.679</v>
      </c>
      <c r="K9">
        <v>15.55</v>
      </c>
      <c r="L9">
        <v>16.777000000000001</v>
      </c>
      <c r="M9">
        <v>15.388</v>
      </c>
      <c r="N9">
        <v>15.71</v>
      </c>
      <c r="O9">
        <v>13.930999999999999</v>
      </c>
      <c r="P9">
        <v>17.466999999999999</v>
      </c>
      <c r="Q9">
        <v>12.956</v>
      </c>
      <c r="R9">
        <v>16.036000000000001</v>
      </c>
      <c r="S9">
        <v>14.874000000000001</v>
      </c>
      <c r="T9">
        <v>17.742000000000001</v>
      </c>
      <c r="U9">
        <v>13.962</v>
      </c>
      <c r="V9">
        <v>15.593</v>
      </c>
      <c r="W9">
        <v>15.675000000000001</v>
      </c>
      <c r="X9">
        <v>16.413</v>
      </c>
      <c r="Y9">
        <v>16.885999999999999</v>
      </c>
      <c r="Z9">
        <v>12.968999999999999</v>
      </c>
      <c r="AA9">
        <v>17.498999999999999</v>
      </c>
      <c r="AB9">
        <v>15.861000000000001</v>
      </c>
      <c r="AC9">
        <v>15.089</v>
      </c>
      <c r="AD9">
        <v>14.679</v>
      </c>
      <c r="AE9">
        <v>17.114000000000001</v>
      </c>
      <c r="AF9">
        <v>14.109</v>
      </c>
      <c r="AG9">
        <v>14.696</v>
      </c>
      <c r="AH9">
        <v>11.946</v>
      </c>
      <c r="AI9">
        <v>12.954000000000001</v>
      </c>
      <c r="AJ9">
        <v>13.682</v>
      </c>
      <c r="AK9">
        <v>16.588999999999999</v>
      </c>
      <c r="AL9">
        <v>16.222000000000001</v>
      </c>
      <c r="AM9">
        <v>16.116</v>
      </c>
      <c r="AN9">
        <v>17.456</v>
      </c>
      <c r="AO9">
        <v>15.571</v>
      </c>
      <c r="AP9">
        <v>15.193</v>
      </c>
      <c r="AQ9">
        <v>17.725999999999999</v>
      </c>
      <c r="AR9">
        <v>15.563000000000001</v>
      </c>
      <c r="AS9">
        <v>17.353999999999999</v>
      </c>
      <c r="AT9">
        <v>15.204000000000001</v>
      </c>
      <c r="AU9">
        <v>13.617000000000001</v>
      </c>
      <c r="AV9">
        <v>15.54</v>
      </c>
      <c r="AW9">
        <v>16.021000000000001</v>
      </c>
      <c r="AX9">
        <v>14.574999999999999</v>
      </c>
      <c r="AY9">
        <v>15.98</v>
      </c>
      <c r="AZ9">
        <v>13.364000000000001</v>
      </c>
      <c r="BA9">
        <v>15.887</v>
      </c>
      <c r="BB9">
        <v>11.782</v>
      </c>
      <c r="BC9">
        <v>15.21</v>
      </c>
      <c r="BD9">
        <v>14.656000000000001</v>
      </c>
      <c r="BE9">
        <v>16.039000000000001</v>
      </c>
      <c r="BF9">
        <v>16.231999999999999</v>
      </c>
      <c r="BG9">
        <v>12.291</v>
      </c>
      <c r="BH9">
        <v>11.743</v>
      </c>
      <c r="BI9">
        <v>14.391</v>
      </c>
      <c r="BJ9">
        <v>17.765000000000001</v>
      </c>
      <c r="BK9">
        <v>14.824</v>
      </c>
      <c r="BL9">
        <v>14.943</v>
      </c>
      <c r="BM9">
        <v>14.79</v>
      </c>
      <c r="BN9">
        <v>16.039000000000001</v>
      </c>
      <c r="BO9">
        <v>15.705</v>
      </c>
      <c r="BP9">
        <v>16.052</v>
      </c>
      <c r="BQ9">
        <v>11.457000000000001</v>
      </c>
      <c r="BR9">
        <v>15.714</v>
      </c>
      <c r="BS9">
        <v>15.795</v>
      </c>
      <c r="BT9">
        <v>13.827999999999999</v>
      </c>
      <c r="BU9">
        <v>11.571999999999999</v>
      </c>
      <c r="BV9">
        <v>15.371</v>
      </c>
      <c r="BW9">
        <v>17.922000000000001</v>
      </c>
      <c r="BX9">
        <v>10.14</v>
      </c>
      <c r="BY9">
        <v>16.088000000000001</v>
      </c>
      <c r="BZ9">
        <v>14.335000000000001</v>
      </c>
      <c r="CA9">
        <v>15.728</v>
      </c>
      <c r="CB9">
        <v>14.959</v>
      </c>
      <c r="CC9">
        <v>15.885</v>
      </c>
      <c r="CD9">
        <v>15.817</v>
      </c>
      <c r="CE9">
        <v>14.824</v>
      </c>
      <c r="CF9">
        <v>15.776</v>
      </c>
      <c r="CG9">
        <v>14.686</v>
      </c>
      <c r="CH9">
        <v>14.954000000000001</v>
      </c>
      <c r="CI9">
        <v>14.79</v>
      </c>
      <c r="CJ9">
        <v>16.742000000000001</v>
      </c>
      <c r="CK9">
        <v>16.728999999999999</v>
      </c>
      <c r="CL9">
        <v>17.638999999999999</v>
      </c>
      <c r="CM9">
        <v>16.32</v>
      </c>
      <c r="CN9">
        <v>16.968</v>
      </c>
      <c r="CO9">
        <v>16.809999999999999</v>
      </c>
      <c r="CP9">
        <v>11.565</v>
      </c>
      <c r="CQ9">
        <v>11.629</v>
      </c>
      <c r="CR9">
        <v>16.016999999999999</v>
      </c>
      <c r="CS9">
        <v>14.657</v>
      </c>
      <c r="CT9">
        <v>12.537000000000001</v>
      </c>
      <c r="CU9">
        <v>16.026</v>
      </c>
      <c r="CV9">
        <v>10.228</v>
      </c>
      <c r="CW9">
        <v>14.891999999999999</v>
      </c>
      <c r="CX9">
        <v>16.279</v>
      </c>
      <c r="CY9">
        <v>15.75</v>
      </c>
      <c r="CZ9">
        <v>17.89</v>
      </c>
      <c r="DA9">
        <v>16.562000000000001</v>
      </c>
      <c r="DB9">
        <v>16.562000000000001</v>
      </c>
      <c r="DC9">
        <v>15.624000000000001</v>
      </c>
      <c r="DD9">
        <v>16.375</v>
      </c>
      <c r="DE9">
        <v>10.62</v>
      </c>
      <c r="DF9">
        <v>15.669</v>
      </c>
      <c r="DG9">
        <v>17.402000000000001</v>
      </c>
      <c r="DH9">
        <v>16.285</v>
      </c>
      <c r="DI9">
        <v>15.122999999999999</v>
      </c>
      <c r="DJ9">
        <v>14.771000000000001</v>
      </c>
      <c r="DK9">
        <v>16.716999999999999</v>
      </c>
      <c r="DL9">
        <v>14.531000000000001</v>
      </c>
      <c r="DM9">
        <v>16.14</v>
      </c>
      <c r="DN9">
        <v>15.256</v>
      </c>
      <c r="DO9">
        <v>16.366</v>
      </c>
      <c r="DP9">
        <v>17.361000000000001</v>
      </c>
      <c r="DQ9">
        <v>10.585000000000001</v>
      </c>
      <c r="DR9">
        <v>14.79</v>
      </c>
      <c r="DS9">
        <v>16.190999999999999</v>
      </c>
      <c r="DT9">
        <v>17.227</v>
      </c>
      <c r="DU9">
        <v>17.244</v>
      </c>
      <c r="DV9">
        <v>14.49</v>
      </c>
      <c r="DW9">
        <v>16.548999999999999</v>
      </c>
      <c r="DX9">
        <v>14.843999999999999</v>
      </c>
      <c r="DY9">
        <v>16.649000000000001</v>
      </c>
      <c r="DZ9">
        <v>16.491</v>
      </c>
      <c r="EA9">
        <v>16.876999999999999</v>
      </c>
      <c r="EB9">
        <v>15.231999999999999</v>
      </c>
      <c r="EC9">
        <v>16.533000000000001</v>
      </c>
      <c r="ED9">
        <v>15.845000000000001</v>
      </c>
      <c r="EE9">
        <v>15.944000000000001</v>
      </c>
      <c r="EF9">
        <v>16.071000000000002</v>
      </c>
      <c r="EG9">
        <v>12.829000000000001</v>
      </c>
      <c r="EH9">
        <v>17.492999999999999</v>
      </c>
      <c r="EI9">
        <v>15.281000000000001</v>
      </c>
      <c r="EJ9">
        <v>13.352</v>
      </c>
      <c r="EK9">
        <v>15.558</v>
      </c>
      <c r="EL9">
        <v>12.997999999999999</v>
      </c>
      <c r="EM9">
        <v>16.459</v>
      </c>
      <c r="EN9">
        <v>14.63</v>
      </c>
      <c r="EO9">
        <v>17.427</v>
      </c>
      <c r="EP9">
        <v>13.448</v>
      </c>
      <c r="EQ9">
        <v>10.88</v>
      </c>
      <c r="ER9">
        <v>15.445</v>
      </c>
      <c r="ES9">
        <v>16.18</v>
      </c>
      <c r="ET9">
        <v>15.525</v>
      </c>
      <c r="EU9">
        <v>16.292000000000002</v>
      </c>
      <c r="EV9">
        <v>13.973000000000001</v>
      </c>
      <c r="EW9">
        <v>14.723000000000001</v>
      </c>
      <c r="EX9">
        <v>15.772</v>
      </c>
      <c r="EY9">
        <v>15.566000000000001</v>
      </c>
      <c r="EZ9">
        <v>15.510999999999999</v>
      </c>
      <c r="FA9">
        <v>17.593</v>
      </c>
      <c r="FB9">
        <v>17.137</v>
      </c>
      <c r="FC9">
        <v>17.210999999999999</v>
      </c>
      <c r="FD9">
        <v>16.212</v>
      </c>
      <c r="FE9">
        <v>15.624000000000001</v>
      </c>
      <c r="FF9">
        <v>13.436</v>
      </c>
      <c r="FG9">
        <v>15.504</v>
      </c>
      <c r="FH9">
        <v>14.52</v>
      </c>
      <c r="FI9">
        <v>15.545999999999999</v>
      </c>
      <c r="FJ9">
        <v>15.499000000000001</v>
      </c>
      <c r="FK9">
        <v>10.823</v>
      </c>
      <c r="FL9">
        <v>16.402999999999999</v>
      </c>
      <c r="FM9">
        <v>15.994999999999999</v>
      </c>
      <c r="FN9">
        <v>15.6</v>
      </c>
      <c r="FO9">
        <v>16.891999999999999</v>
      </c>
      <c r="FP9">
        <v>13.262</v>
      </c>
      <c r="FQ9">
        <v>15.2</v>
      </c>
      <c r="FR9">
        <v>16.138999999999999</v>
      </c>
      <c r="FS9">
        <v>13.85</v>
      </c>
      <c r="FT9">
        <v>16.350000000000001</v>
      </c>
      <c r="FU9">
        <v>16.283000000000001</v>
      </c>
      <c r="FV9">
        <v>17.021999999999998</v>
      </c>
      <c r="FW9">
        <v>16.123000000000001</v>
      </c>
      <c r="FX9">
        <v>12.416</v>
      </c>
      <c r="FY9">
        <v>16.751999999999999</v>
      </c>
      <c r="FZ9">
        <v>13.271000000000001</v>
      </c>
      <c r="GA9">
        <v>9.6310000000000002</v>
      </c>
      <c r="GB9">
        <v>13.888</v>
      </c>
      <c r="GC9">
        <v>17.391999999999999</v>
      </c>
      <c r="GD9">
        <v>14.377000000000001</v>
      </c>
      <c r="GE9">
        <v>15.635</v>
      </c>
      <c r="GF9">
        <v>15.96</v>
      </c>
      <c r="GG9">
        <v>15.643000000000001</v>
      </c>
      <c r="GH9">
        <v>16.783000000000001</v>
      </c>
      <c r="GI9">
        <v>17.765000000000001</v>
      </c>
      <c r="GJ9">
        <v>17.135000000000002</v>
      </c>
      <c r="GK9">
        <v>15.141</v>
      </c>
      <c r="GL9">
        <v>13.635</v>
      </c>
      <c r="GM9">
        <v>15.698</v>
      </c>
      <c r="GN9">
        <v>15.909000000000001</v>
      </c>
      <c r="GO9">
        <v>16.29</v>
      </c>
      <c r="GP9">
        <v>15.101000000000001</v>
      </c>
      <c r="GQ9">
        <v>15.451000000000001</v>
      </c>
      <c r="GR9">
        <v>12.227</v>
      </c>
      <c r="GS9">
        <v>15.977</v>
      </c>
      <c r="GT9">
        <v>16.352</v>
      </c>
      <c r="GU9">
        <v>12.385999999999999</v>
      </c>
      <c r="GV9">
        <v>16.481000000000002</v>
      </c>
      <c r="GW9">
        <v>15.833</v>
      </c>
      <c r="GX9">
        <v>16.317</v>
      </c>
      <c r="GY9">
        <v>16.856000000000002</v>
      </c>
      <c r="GZ9">
        <v>16.117000000000001</v>
      </c>
      <c r="HA9">
        <v>13.856</v>
      </c>
      <c r="HB9">
        <v>11.067</v>
      </c>
      <c r="HC9">
        <v>11.606999999999999</v>
      </c>
      <c r="HD9">
        <v>15.739000000000001</v>
      </c>
      <c r="HE9">
        <v>16.341000000000001</v>
      </c>
      <c r="HF9">
        <v>12.076000000000001</v>
      </c>
      <c r="HG9">
        <v>16.045000000000002</v>
      </c>
      <c r="HH9">
        <v>14.976000000000001</v>
      </c>
      <c r="HI9">
        <v>15.54</v>
      </c>
      <c r="HJ9">
        <v>15.891</v>
      </c>
      <c r="HK9">
        <v>17.207999999999998</v>
      </c>
      <c r="HL9">
        <v>16.173999999999999</v>
      </c>
      <c r="HM9">
        <v>12.981999999999999</v>
      </c>
      <c r="HN9">
        <v>15.651</v>
      </c>
      <c r="HO9">
        <v>12.611000000000001</v>
      </c>
      <c r="HP9">
        <v>16.260999999999999</v>
      </c>
      <c r="HQ9">
        <v>14.718</v>
      </c>
      <c r="HR9">
        <v>12.366</v>
      </c>
      <c r="HS9">
        <v>11.16</v>
      </c>
      <c r="HT9">
        <v>15.015000000000001</v>
      </c>
      <c r="HU9">
        <v>15.243</v>
      </c>
      <c r="HV9">
        <v>15.039</v>
      </c>
      <c r="HW9">
        <v>16.582999999999998</v>
      </c>
      <c r="HX9">
        <v>17.018999999999998</v>
      </c>
      <c r="HY9">
        <v>16.385999999999999</v>
      </c>
      <c r="HZ9">
        <v>16.587</v>
      </c>
      <c r="IA9">
        <v>15.305</v>
      </c>
      <c r="IB9">
        <v>15.923999999999999</v>
      </c>
      <c r="IC9">
        <v>15.42</v>
      </c>
      <c r="ID9">
        <v>14.914999999999999</v>
      </c>
      <c r="IE9">
        <v>16.071000000000002</v>
      </c>
      <c r="IF9">
        <v>16.437999999999999</v>
      </c>
      <c r="IG9">
        <v>15.821999999999999</v>
      </c>
      <c r="IH9">
        <v>15.409000000000001</v>
      </c>
      <c r="II9">
        <v>16.818999999999999</v>
      </c>
      <c r="IJ9">
        <v>15.428000000000001</v>
      </c>
      <c r="IK9">
        <v>15.222</v>
      </c>
      <c r="IL9">
        <v>17.329999999999998</v>
      </c>
      <c r="IM9">
        <v>16.521999999999998</v>
      </c>
      <c r="IN9">
        <v>15.667</v>
      </c>
      <c r="IO9">
        <v>16.137</v>
      </c>
      <c r="IP9">
        <v>17.122</v>
      </c>
      <c r="IQ9">
        <v>10.923999999999999</v>
      </c>
      <c r="IR9">
        <v>15.69</v>
      </c>
      <c r="IS9">
        <v>15.02</v>
      </c>
      <c r="IT9">
        <v>16.023</v>
      </c>
      <c r="IU9">
        <v>16.239999999999998</v>
      </c>
      <c r="IV9">
        <v>15.291</v>
      </c>
      <c r="IW9">
        <v>14.052</v>
      </c>
      <c r="IX9">
        <v>16.591999999999999</v>
      </c>
      <c r="IY9">
        <v>16.026</v>
      </c>
      <c r="IZ9">
        <v>15.542999999999999</v>
      </c>
      <c r="JA9">
        <v>14.638</v>
      </c>
      <c r="JB9">
        <v>15.313000000000001</v>
      </c>
      <c r="JC9">
        <v>16.780999999999999</v>
      </c>
      <c r="JD9">
        <v>16.21</v>
      </c>
      <c r="JE9">
        <v>14.079000000000001</v>
      </c>
      <c r="JF9">
        <v>14.685</v>
      </c>
      <c r="JG9">
        <v>17.108000000000001</v>
      </c>
      <c r="JH9">
        <v>13.877000000000001</v>
      </c>
      <c r="JI9">
        <v>11.528</v>
      </c>
      <c r="JJ9">
        <v>15.677</v>
      </c>
      <c r="JK9">
        <v>13.725</v>
      </c>
      <c r="JL9">
        <v>16.25</v>
      </c>
      <c r="JM9">
        <v>15.734999999999999</v>
      </c>
      <c r="JN9">
        <v>14.7</v>
      </c>
      <c r="JO9">
        <v>15.813000000000001</v>
      </c>
      <c r="JP9">
        <v>13.928000000000001</v>
      </c>
      <c r="JQ9">
        <v>16.408999999999999</v>
      </c>
      <c r="JR9">
        <v>15.601000000000001</v>
      </c>
      <c r="JS9">
        <v>17.161000000000001</v>
      </c>
      <c r="JT9">
        <v>16.391999999999999</v>
      </c>
      <c r="JU9">
        <v>15.984</v>
      </c>
      <c r="JV9">
        <v>15.647</v>
      </c>
      <c r="JW9">
        <v>17.251999999999999</v>
      </c>
      <c r="JX9">
        <v>16.22</v>
      </c>
      <c r="JY9">
        <v>3.1320000000000001</v>
      </c>
      <c r="JZ9">
        <v>11.173</v>
      </c>
      <c r="KA9">
        <v>15.125</v>
      </c>
      <c r="KB9">
        <v>13.782999999999999</v>
      </c>
      <c r="KC9">
        <v>15.516</v>
      </c>
      <c r="KD9">
        <v>16.042999999999999</v>
      </c>
      <c r="KE9">
        <v>13.387</v>
      </c>
      <c r="KF9">
        <v>12.391</v>
      </c>
      <c r="KG9">
        <v>16.597000000000001</v>
      </c>
      <c r="KH9">
        <v>15.506</v>
      </c>
      <c r="KI9">
        <v>15.711</v>
      </c>
      <c r="KJ9">
        <v>16.177</v>
      </c>
      <c r="KK9">
        <v>16.178999999999998</v>
      </c>
      <c r="KL9">
        <v>14.472</v>
      </c>
      <c r="KM9">
        <v>11.72</v>
      </c>
      <c r="KN9">
        <v>16.388999999999999</v>
      </c>
      <c r="KO9">
        <v>15.224</v>
      </c>
      <c r="KP9">
        <v>13.624000000000001</v>
      </c>
      <c r="KQ9">
        <v>13.253</v>
      </c>
      <c r="KR9">
        <v>13.343</v>
      </c>
    </row>
    <row r="10" spans="1:304" x14ac:dyDescent="0.25">
      <c r="A10">
        <v>9</v>
      </c>
      <c r="C10">
        <v>4.7469999999999999</v>
      </c>
      <c r="D10">
        <v>11.712999999999999</v>
      </c>
      <c r="E10">
        <v>11.388</v>
      </c>
      <c r="F10">
        <v>11.215</v>
      </c>
      <c r="G10">
        <v>11.164999999999999</v>
      </c>
      <c r="H10">
        <v>11.178000000000001</v>
      </c>
      <c r="I10">
        <v>6.3319999999999999</v>
      </c>
      <c r="J10">
        <v>5.3129999999999997</v>
      </c>
      <c r="K10">
        <v>11.076000000000001</v>
      </c>
      <c r="L10">
        <v>11.186</v>
      </c>
      <c r="M10">
        <v>8.9580000000000002</v>
      </c>
      <c r="N10">
        <v>10.789</v>
      </c>
      <c r="O10">
        <v>7.3579999999999997</v>
      </c>
      <c r="P10">
        <v>12.61</v>
      </c>
      <c r="Q10">
        <v>9.6460000000000008</v>
      </c>
      <c r="R10">
        <v>12.635</v>
      </c>
      <c r="S10">
        <v>11.27</v>
      </c>
      <c r="T10">
        <v>13.234</v>
      </c>
      <c r="U10">
        <v>10.16</v>
      </c>
      <c r="V10">
        <v>10.026999999999999</v>
      </c>
      <c r="W10">
        <v>11.307</v>
      </c>
      <c r="X10">
        <v>12.041</v>
      </c>
      <c r="Y10">
        <v>12.529</v>
      </c>
      <c r="Z10">
        <v>7.1559999999999997</v>
      </c>
      <c r="AA10">
        <v>13.03</v>
      </c>
      <c r="AB10">
        <v>12.64</v>
      </c>
      <c r="AC10">
        <v>10.61</v>
      </c>
      <c r="AD10">
        <v>11.108000000000001</v>
      </c>
      <c r="AE10">
        <v>13.012</v>
      </c>
      <c r="AF10">
        <v>10.206</v>
      </c>
      <c r="AG10">
        <v>11.191000000000001</v>
      </c>
      <c r="AH10">
        <v>6.9880000000000004</v>
      </c>
      <c r="AI10">
        <v>8.5489999999999995</v>
      </c>
      <c r="AJ10">
        <v>9.4250000000000007</v>
      </c>
      <c r="AK10">
        <v>11.337</v>
      </c>
      <c r="AL10">
        <v>10.981</v>
      </c>
      <c r="AM10">
        <v>11.976000000000001</v>
      </c>
      <c r="AN10">
        <v>12.617000000000001</v>
      </c>
      <c r="AO10">
        <v>11.034000000000001</v>
      </c>
      <c r="AP10">
        <v>9.6549999999999994</v>
      </c>
      <c r="AQ10">
        <v>13.058999999999999</v>
      </c>
      <c r="AR10">
        <v>10.458</v>
      </c>
      <c r="AS10">
        <v>13.664999999999999</v>
      </c>
      <c r="AT10">
        <v>8.4920000000000009</v>
      </c>
      <c r="AU10">
        <v>9.8309999999999995</v>
      </c>
      <c r="AV10">
        <v>10.269</v>
      </c>
      <c r="AW10">
        <v>11.156000000000001</v>
      </c>
      <c r="AX10">
        <v>11.942</v>
      </c>
      <c r="AY10">
        <v>11.707000000000001</v>
      </c>
      <c r="AZ10">
        <v>7.391</v>
      </c>
      <c r="BA10">
        <v>10.365</v>
      </c>
      <c r="BB10">
        <v>7.9180000000000001</v>
      </c>
      <c r="BC10">
        <v>9.3030000000000008</v>
      </c>
      <c r="BD10">
        <v>11.068</v>
      </c>
      <c r="BE10">
        <v>11.382999999999999</v>
      </c>
      <c r="BF10">
        <v>12.082000000000001</v>
      </c>
      <c r="BG10">
        <v>6.3410000000000002</v>
      </c>
      <c r="BH10">
        <v>5.1669999999999998</v>
      </c>
      <c r="BI10">
        <v>10.173999999999999</v>
      </c>
      <c r="BJ10">
        <v>13.222</v>
      </c>
      <c r="BK10">
        <v>11.884</v>
      </c>
      <c r="BL10">
        <v>9.4619999999999997</v>
      </c>
      <c r="BM10">
        <v>9.3659999999999997</v>
      </c>
      <c r="BN10">
        <v>10.545</v>
      </c>
      <c r="BO10">
        <v>10.750999999999999</v>
      </c>
      <c r="BP10">
        <v>12.55</v>
      </c>
      <c r="BQ10">
        <v>6.9039999999999999</v>
      </c>
      <c r="BR10">
        <v>11.02</v>
      </c>
      <c r="BS10">
        <v>11.398</v>
      </c>
      <c r="BT10">
        <v>8.875</v>
      </c>
      <c r="BU10">
        <v>6.726</v>
      </c>
      <c r="BV10">
        <v>8.6539999999999999</v>
      </c>
      <c r="BW10">
        <v>12.582000000000001</v>
      </c>
      <c r="BX10">
        <v>4.9039999999999999</v>
      </c>
      <c r="BY10">
        <v>12.332000000000001</v>
      </c>
      <c r="BZ10">
        <v>11.605</v>
      </c>
      <c r="CA10">
        <v>11.141</v>
      </c>
      <c r="CB10">
        <v>8.7219999999999995</v>
      </c>
      <c r="CC10">
        <v>11.680999999999999</v>
      </c>
      <c r="CD10">
        <v>11.173</v>
      </c>
      <c r="CE10">
        <v>9.9459999999999997</v>
      </c>
      <c r="CF10">
        <v>11.051</v>
      </c>
      <c r="CG10">
        <v>11.304</v>
      </c>
      <c r="CH10">
        <v>9.9559999999999995</v>
      </c>
      <c r="CI10">
        <v>9.4499999999999993</v>
      </c>
      <c r="CJ10">
        <v>11.651</v>
      </c>
      <c r="CK10">
        <v>12.4</v>
      </c>
      <c r="CL10">
        <v>13.253</v>
      </c>
      <c r="CM10">
        <v>11.436999999999999</v>
      </c>
      <c r="CN10">
        <v>11.949</v>
      </c>
      <c r="CO10">
        <v>12.835000000000001</v>
      </c>
      <c r="CP10">
        <v>5.5750000000000002</v>
      </c>
      <c r="CQ10">
        <v>8.3919999999999995</v>
      </c>
      <c r="CR10">
        <v>11.529</v>
      </c>
      <c r="CS10">
        <v>9.5329999999999995</v>
      </c>
      <c r="CT10">
        <v>7.9260000000000002</v>
      </c>
      <c r="CU10">
        <v>12.5</v>
      </c>
      <c r="CV10">
        <v>4.569</v>
      </c>
      <c r="CW10">
        <v>11.722</v>
      </c>
      <c r="CX10">
        <v>12.324999999999999</v>
      </c>
      <c r="CY10">
        <v>10.074</v>
      </c>
      <c r="CZ10">
        <v>12.907</v>
      </c>
      <c r="DA10">
        <v>10.824999999999999</v>
      </c>
      <c r="DB10">
        <v>10.824999999999999</v>
      </c>
      <c r="DC10">
        <v>10.253</v>
      </c>
      <c r="DD10">
        <v>12.513999999999999</v>
      </c>
      <c r="DE10">
        <v>4.8449999999999998</v>
      </c>
      <c r="DF10">
        <v>9.843</v>
      </c>
      <c r="DG10">
        <v>11.952999999999999</v>
      </c>
      <c r="DH10">
        <v>11.191000000000001</v>
      </c>
      <c r="DI10">
        <v>10.836</v>
      </c>
      <c r="DJ10">
        <v>9.1329999999999991</v>
      </c>
      <c r="DK10">
        <v>12.602</v>
      </c>
      <c r="DL10">
        <v>10.948</v>
      </c>
      <c r="DM10">
        <v>10.771000000000001</v>
      </c>
      <c r="DN10">
        <v>12.741</v>
      </c>
      <c r="DO10">
        <v>11.114000000000001</v>
      </c>
      <c r="DP10">
        <v>12.863</v>
      </c>
      <c r="DQ10">
        <v>5.7960000000000003</v>
      </c>
      <c r="DR10">
        <v>11.257999999999999</v>
      </c>
      <c r="DS10">
        <v>10.88</v>
      </c>
      <c r="DT10">
        <v>12.802</v>
      </c>
      <c r="DU10">
        <v>12.797000000000001</v>
      </c>
      <c r="DV10">
        <v>10.3</v>
      </c>
      <c r="DW10">
        <v>11.048999999999999</v>
      </c>
      <c r="DX10">
        <v>9.8640000000000008</v>
      </c>
      <c r="DY10">
        <v>11.26</v>
      </c>
      <c r="DZ10">
        <v>11.369</v>
      </c>
      <c r="EA10">
        <v>11.598000000000001</v>
      </c>
      <c r="EB10">
        <v>12.358000000000001</v>
      </c>
      <c r="EC10">
        <v>11.262</v>
      </c>
      <c r="ED10">
        <v>10.212999999999999</v>
      </c>
      <c r="EE10">
        <v>11.345000000000001</v>
      </c>
      <c r="EF10">
        <v>11.183999999999999</v>
      </c>
      <c r="EG10">
        <v>9.74</v>
      </c>
      <c r="EH10">
        <v>13.051</v>
      </c>
      <c r="EI10">
        <v>9.6419999999999995</v>
      </c>
      <c r="EJ10">
        <v>8.343</v>
      </c>
      <c r="EK10">
        <v>13.022</v>
      </c>
      <c r="EL10">
        <v>7.4580000000000002</v>
      </c>
      <c r="EM10">
        <v>12.417</v>
      </c>
      <c r="EN10">
        <v>10.237</v>
      </c>
      <c r="EO10">
        <v>13.092000000000001</v>
      </c>
      <c r="EP10">
        <v>8.1129999999999995</v>
      </c>
      <c r="EQ10">
        <v>5.7969999999999997</v>
      </c>
      <c r="ER10">
        <v>11.507999999999999</v>
      </c>
      <c r="ES10">
        <v>11.744999999999999</v>
      </c>
      <c r="ET10">
        <v>11.404</v>
      </c>
      <c r="EU10">
        <v>10.952999999999999</v>
      </c>
      <c r="EV10">
        <v>9.3010000000000002</v>
      </c>
      <c r="EW10">
        <v>11.58</v>
      </c>
      <c r="EX10">
        <v>11.189</v>
      </c>
      <c r="EY10">
        <v>10.039999999999999</v>
      </c>
      <c r="EZ10">
        <v>10.561999999999999</v>
      </c>
      <c r="FA10">
        <v>12.968999999999999</v>
      </c>
      <c r="FB10">
        <v>12.586</v>
      </c>
      <c r="FC10">
        <v>13.119</v>
      </c>
      <c r="FD10">
        <v>11.603999999999999</v>
      </c>
      <c r="FE10">
        <v>11.339</v>
      </c>
      <c r="FF10">
        <v>8.5739999999999998</v>
      </c>
      <c r="FG10">
        <v>9.1430000000000007</v>
      </c>
      <c r="FH10">
        <v>8.6359999999999992</v>
      </c>
      <c r="FI10">
        <v>12.726000000000001</v>
      </c>
      <c r="FJ10">
        <v>11.401</v>
      </c>
      <c r="FK10">
        <v>5.8570000000000002</v>
      </c>
      <c r="FL10">
        <v>11.551</v>
      </c>
      <c r="FM10">
        <v>11.224</v>
      </c>
      <c r="FN10">
        <v>11.433999999999999</v>
      </c>
      <c r="FO10">
        <v>11.805999999999999</v>
      </c>
      <c r="FP10">
        <v>9.4079999999999995</v>
      </c>
      <c r="FQ10">
        <v>9.6639999999999997</v>
      </c>
      <c r="FR10">
        <v>11.643000000000001</v>
      </c>
      <c r="FS10">
        <v>8.8070000000000004</v>
      </c>
      <c r="FT10">
        <v>11.875</v>
      </c>
      <c r="FU10">
        <v>11.699</v>
      </c>
      <c r="FV10">
        <v>12.545</v>
      </c>
      <c r="FW10">
        <v>12.138</v>
      </c>
      <c r="FX10">
        <v>6.0919999999999996</v>
      </c>
      <c r="FY10">
        <v>11.601000000000001</v>
      </c>
      <c r="FZ10">
        <v>10.734999999999999</v>
      </c>
      <c r="GA10">
        <v>3.6110000000000002</v>
      </c>
      <c r="GB10">
        <v>8.6310000000000002</v>
      </c>
      <c r="GC10">
        <v>12.295</v>
      </c>
      <c r="GD10">
        <v>9.6790000000000003</v>
      </c>
      <c r="GE10">
        <v>10.127000000000001</v>
      </c>
      <c r="GF10">
        <v>11.231999999999999</v>
      </c>
      <c r="GG10">
        <v>10.026</v>
      </c>
      <c r="GH10">
        <v>11.52</v>
      </c>
      <c r="GI10">
        <v>12.553000000000001</v>
      </c>
      <c r="GJ10">
        <v>12.435</v>
      </c>
      <c r="GK10">
        <v>11.651</v>
      </c>
      <c r="GL10">
        <v>8.4830000000000005</v>
      </c>
      <c r="GM10">
        <v>11.355</v>
      </c>
      <c r="GN10">
        <v>12.564</v>
      </c>
      <c r="GO10">
        <v>10.446</v>
      </c>
      <c r="GP10">
        <v>11.497</v>
      </c>
      <c r="GQ10">
        <v>9.6590000000000007</v>
      </c>
      <c r="GR10">
        <v>8.4670000000000005</v>
      </c>
      <c r="GS10">
        <v>11.595000000000001</v>
      </c>
      <c r="GT10">
        <v>11.599</v>
      </c>
      <c r="GU10">
        <v>5.4509999999999996</v>
      </c>
      <c r="GV10">
        <v>14.092000000000001</v>
      </c>
      <c r="GW10">
        <v>12.955</v>
      </c>
      <c r="GX10">
        <v>11.811999999999999</v>
      </c>
      <c r="GY10">
        <v>12.224</v>
      </c>
      <c r="GZ10">
        <v>11.529</v>
      </c>
      <c r="HA10">
        <v>10.316000000000001</v>
      </c>
      <c r="HB10">
        <v>6.75</v>
      </c>
      <c r="HC10">
        <v>7.1269999999999998</v>
      </c>
      <c r="HD10">
        <v>11.802</v>
      </c>
      <c r="HE10">
        <v>11.587</v>
      </c>
      <c r="HF10">
        <v>8.2810000000000006</v>
      </c>
      <c r="HG10">
        <v>11.573</v>
      </c>
      <c r="HH10">
        <v>9.0299999999999994</v>
      </c>
      <c r="HI10">
        <v>10.119999999999999</v>
      </c>
      <c r="HJ10">
        <v>10.263</v>
      </c>
      <c r="HK10">
        <v>12.436</v>
      </c>
      <c r="HL10">
        <v>12.699</v>
      </c>
      <c r="HM10">
        <v>6.9710000000000001</v>
      </c>
      <c r="HN10">
        <v>9.9600000000000009</v>
      </c>
      <c r="HO10">
        <v>8.3789999999999996</v>
      </c>
      <c r="HP10">
        <v>12.273999999999999</v>
      </c>
      <c r="HQ10">
        <v>11.529</v>
      </c>
      <c r="HR10">
        <v>7.0259999999999998</v>
      </c>
      <c r="HS10">
        <v>7.0540000000000003</v>
      </c>
      <c r="HT10">
        <v>11.428000000000001</v>
      </c>
      <c r="HU10">
        <v>9.3949999999999996</v>
      </c>
      <c r="HV10">
        <v>9.9540000000000006</v>
      </c>
      <c r="HW10">
        <v>11.867000000000001</v>
      </c>
      <c r="HX10">
        <v>11.151</v>
      </c>
      <c r="HY10">
        <v>11.609</v>
      </c>
      <c r="HZ10">
        <v>12.35</v>
      </c>
      <c r="IA10">
        <v>11.82</v>
      </c>
      <c r="IB10">
        <v>10.609</v>
      </c>
      <c r="IC10">
        <v>10.087999999999999</v>
      </c>
      <c r="ID10">
        <v>8.6449999999999996</v>
      </c>
      <c r="IE10">
        <v>11.324999999999999</v>
      </c>
      <c r="IF10">
        <v>12.58</v>
      </c>
      <c r="IG10">
        <v>12.387</v>
      </c>
      <c r="IH10">
        <v>9.7780000000000005</v>
      </c>
      <c r="II10">
        <v>12.404999999999999</v>
      </c>
      <c r="IJ10">
        <v>11.180999999999999</v>
      </c>
      <c r="IK10">
        <v>11.176</v>
      </c>
      <c r="IL10">
        <v>13.362</v>
      </c>
      <c r="IM10">
        <v>11.548999999999999</v>
      </c>
      <c r="IN10">
        <v>11.733000000000001</v>
      </c>
      <c r="IO10">
        <v>11.93</v>
      </c>
      <c r="IP10">
        <v>13.042999999999999</v>
      </c>
      <c r="IQ10">
        <v>5.35</v>
      </c>
      <c r="IR10">
        <v>9.391</v>
      </c>
      <c r="IS10">
        <v>10.978</v>
      </c>
      <c r="IT10">
        <v>11.643000000000001</v>
      </c>
      <c r="IU10">
        <v>11.555999999999999</v>
      </c>
      <c r="IV10">
        <v>9.57</v>
      </c>
      <c r="IW10">
        <v>8.6920000000000002</v>
      </c>
      <c r="IX10">
        <v>11.519</v>
      </c>
      <c r="IY10">
        <v>11.457000000000001</v>
      </c>
      <c r="IZ10">
        <v>10.599</v>
      </c>
      <c r="JA10">
        <v>11.829000000000001</v>
      </c>
      <c r="JB10">
        <v>9.6790000000000003</v>
      </c>
      <c r="JC10">
        <v>11.378</v>
      </c>
      <c r="JD10">
        <v>12.683</v>
      </c>
      <c r="JE10">
        <v>8.9260000000000002</v>
      </c>
      <c r="JF10">
        <v>11.999000000000001</v>
      </c>
      <c r="JG10">
        <v>13.143000000000001</v>
      </c>
      <c r="JH10">
        <v>10.606999999999999</v>
      </c>
      <c r="JI10">
        <v>6.702</v>
      </c>
      <c r="JJ10">
        <v>10.821</v>
      </c>
      <c r="JK10">
        <v>6.93</v>
      </c>
      <c r="JL10">
        <v>11.06</v>
      </c>
      <c r="JM10">
        <v>12.351000000000001</v>
      </c>
      <c r="JN10">
        <v>10.827999999999999</v>
      </c>
      <c r="JO10">
        <v>12.215999999999999</v>
      </c>
      <c r="JP10">
        <v>7.7460000000000004</v>
      </c>
      <c r="JQ10">
        <v>12.093999999999999</v>
      </c>
      <c r="JR10">
        <v>10.816000000000001</v>
      </c>
      <c r="JS10">
        <v>12.571</v>
      </c>
      <c r="JT10">
        <v>11.013999999999999</v>
      </c>
      <c r="JU10">
        <v>10.444000000000001</v>
      </c>
      <c r="JV10">
        <v>11.672000000000001</v>
      </c>
      <c r="JW10">
        <v>13.101000000000001</v>
      </c>
      <c r="JX10">
        <v>10.786</v>
      </c>
      <c r="JY10">
        <v>3.1320000000000001</v>
      </c>
      <c r="JZ10">
        <v>6.5919999999999996</v>
      </c>
      <c r="KA10">
        <v>10.327</v>
      </c>
      <c r="KB10">
        <v>10.715</v>
      </c>
      <c r="KC10">
        <v>10.88</v>
      </c>
      <c r="KD10">
        <v>11.435</v>
      </c>
      <c r="KE10">
        <v>8.8079999999999998</v>
      </c>
      <c r="KF10">
        <v>6.7210000000000001</v>
      </c>
      <c r="KG10">
        <v>13.44</v>
      </c>
      <c r="KH10">
        <v>13.157</v>
      </c>
      <c r="KI10">
        <v>10.866</v>
      </c>
      <c r="KJ10">
        <v>10.895</v>
      </c>
      <c r="KK10">
        <v>11.364000000000001</v>
      </c>
      <c r="KL10">
        <v>8.4920000000000009</v>
      </c>
      <c r="KM10">
        <v>8.7409999999999997</v>
      </c>
      <c r="KN10">
        <v>11.776</v>
      </c>
      <c r="KO10">
        <v>10.891999999999999</v>
      </c>
      <c r="KP10">
        <v>10.053000000000001</v>
      </c>
      <c r="KQ10">
        <v>9.24</v>
      </c>
      <c r="KR10">
        <v>8.4120000000000008</v>
      </c>
    </row>
    <row r="11" spans="1:304" x14ac:dyDescent="0.25">
      <c r="A11">
        <v>10</v>
      </c>
      <c r="C11">
        <v>-0.28399999999999997</v>
      </c>
      <c r="D11">
        <v>7.7439999999999998</v>
      </c>
      <c r="E11">
        <v>7.835</v>
      </c>
      <c r="F11">
        <v>6.9720000000000004</v>
      </c>
      <c r="G11">
        <v>7.2119999999999997</v>
      </c>
      <c r="H11">
        <v>7.1020000000000003</v>
      </c>
      <c r="I11">
        <v>1.3180000000000001</v>
      </c>
      <c r="J11">
        <v>1.7809999999999999</v>
      </c>
      <c r="K11">
        <v>3.9039999999999999</v>
      </c>
      <c r="L11">
        <v>4.101</v>
      </c>
      <c r="M11">
        <v>4.0970000000000004</v>
      </c>
      <c r="N11">
        <v>4.7030000000000003</v>
      </c>
      <c r="O11">
        <v>3.27</v>
      </c>
      <c r="P11">
        <v>9.4239999999999995</v>
      </c>
      <c r="Q11">
        <v>1.4830000000000001</v>
      </c>
      <c r="R11">
        <v>7.2210000000000001</v>
      </c>
      <c r="S11">
        <v>5.3890000000000002</v>
      </c>
      <c r="T11">
        <v>8.23</v>
      </c>
      <c r="U11">
        <v>5.4950000000000001</v>
      </c>
      <c r="V11">
        <v>7.6970000000000001</v>
      </c>
      <c r="W11">
        <v>5.62</v>
      </c>
      <c r="X11">
        <v>7.7629999999999999</v>
      </c>
      <c r="Y11">
        <v>8.26</v>
      </c>
      <c r="Z11">
        <v>3.5659999999999998</v>
      </c>
      <c r="AA11">
        <v>8.3030000000000008</v>
      </c>
      <c r="AB11">
        <v>8.4489999999999998</v>
      </c>
      <c r="AC11">
        <v>6.1180000000000003</v>
      </c>
      <c r="AD11">
        <v>4.6559999999999997</v>
      </c>
      <c r="AE11">
        <v>6.0019999999999998</v>
      </c>
      <c r="AF11">
        <v>6.4669999999999996</v>
      </c>
      <c r="AG11">
        <v>5.0739999999999998</v>
      </c>
      <c r="AH11">
        <v>2.69</v>
      </c>
      <c r="AI11">
        <v>4.4660000000000002</v>
      </c>
      <c r="AJ11">
        <v>7.6070000000000002</v>
      </c>
      <c r="AK11">
        <v>5.4119999999999999</v>
      </c>
      <c r="AL11">
        <v>7.1950000000000003</v>
      </c>
      <c r="AM11">
        <v>6.4770000000000003</v>
      </c>
      <c r="AN11">
        <v>9.5139999999999993</v>
      </c>
      <c r="AO11">
        <v>7.3280000000000003</v>
      </c>
      <c r="AP11">
        <v>5.5010000000000003</v>
      </c>
      <c r="AQ11">
        <v>9.7929999999999993</v>
      </c>
      <c r="AR11">
        <v>7.4649999999999999</v>
      </c>
      <c r="AS11">
        <v>9.8209999999999997</v>
      </c>
      <c r="AT11">
        <v>3.7360000000000002</v>
      </c>
      <c r="AU11">
        <v>5.4210000000000003</v>
      </c>
      <c r="AV11">
        <v>5.01</v>
      </c>
      <c r="AW11">
        <v>5.673</v>
      </c>
      <c r="AX11">
        <v>5.3840000000000003</v>
      </c>
      <c r="AY11">
        <v>4.24</v>
      </c>
      <c r="AZ11">
        <v>2.6869999999999998</v>
      </c>
      <c r="BA11">
        <v>7.0149999999999997</v>
      </c>
      <c r="BB11">
        <v>2.9780000000000002</v>
      </c>
      <c r="BC11">
        <v>3.29</v>
      </c>
      <c r="BD11">
        <v>7.2880000000000003</v>
      </c>
      <c r="BE11">
        <v>5.915</v>
      </c>
      <c r="BF11">
        <v>8.0039999999999996</v>
      </c>
      <c r="BG11">
        <v>1.9550000000000001</v>
      </c>
      <c r="BH11">
        <v>-0.53200000000000003</v>
      </c>
      <c r="BI11">
        <v>5.3819999999999997</v>
      </c>
      <c r="BJ11">
        <v>7.82</v>
      </c>
      <c r="BK11">
        <v>6.968</v>
      </c>
      <c r="BL11">
        <v>7.3380000000000001</v>
      </c>
      <c r="BM11">
        <v>2.9870000000000001</v>
      </c>
      <c r="BN11">
        <v>5.0170000000000003</v>
      </c>
      <c r="BO11">
        <v>6.1079999999999997</v>
      </c>
      <c r="BP11">
        <v>7.46</v>
      </c>
      <c r="BQ11">
        <v>4.1740000000000004</v>
      </c>
      <c r="BR11">
        <v>7.2489999999999997</v>
      </c>
      <c r="BS11">
        <v>7.399</v>
      </c>
      <c r="BT11">
        <v>3.7469999999999999</v>
      </c>
      <c r="BU11">
        <v>2.8029999999999999</v>
      </c>
      <c r="BV11">
        <v>3.964</v>
      </c>
      <c r="BW11">
        <v>7.9950000000000001</v>
      </c>
      <c r="BX11">
        <v>-0.64500000000000002</v>
      </c>
      <c r="BY11">
        <v>7.2069999999999999</v>
      </c>
      <c r="BZ11">
        <v>7.0960000000000001</v>
      </c>
      <c r="CA11">
        <v>7.508</v>
      </c>
      <c r="CB11">
        <v>3.556</v>
      </c>
      <c r="CC11">
        <v>5.2759999999999998</v>
      </c>
      <c r="CD11">
        <v>5.8369999999999997</v>
      </c>
      <c r="CE11">
        <v>5.883</v>
      </c>
      <c r="CF11">
        <v>5.0579999999999998</v>
      </c>
      <c r="CG11">
        <v>7.6150000000000002</v>
      </c>
      <c r="CH11">
        <v>5.5339999999999998</v>
      </c>
      <c r="CI11">
        <v>4.5979999999999999</v>
      </c>
      <c r="CJ11">
        <v>8.0559999999999992</v>
      </c>
      <c r="CK11">
        <v>7.8129999999999997</v>
      </c>
      <c r="CL11">
        <v>8.3249999999999993</v>
      </c>
      <c r="CM11">
        <v>5.4509999999999996</v>
      </c>
      <c r="CN11">
        <v>8.9969999999999999</v>
      </c>
      <c r="CO11">
        <v>9.1950000000000003</v>
      </c>
      <c r="CP11">
        <v>0.16700000000000001</v>
      </c>
      <c r="CQ11">
        <v>2.6379999999999999</v>
      </c>
      <c r="CR11">
        <v>5.85</v>
      </c>
      <c r="CS11">
        <v>7.4290000000000003</v>
      </c>
      <c r="CT11">
        <v>1.7709999999999999</v>
      </c>
      <c r="CU11">
        <v>8.5820000000000007</v>
      </c>
      <c r="CV11">
        <v>-1.1419999999999999</v>
      </c>
      <c r="CW11">
        <v>6.6580000000000004</v>
      </c>
      <c r="CX11">
        <v>6.8920000000000003</v>
      </c>
      <c r="CY11">
        <v>6.1539999999999999</v>
      </c>
      <c r="CZ11">
        <v>6.9779999999999998</v>
      </c>
      <c r="DA11">
        <v>4.806</v>
      </c>
      <c r="DB11">
        <v>4.806</v>
      </c>
      <c r="DC11">
        <v>6.3559999999999999</v>
      </c>
      <c r="DD11">
        <v>7.5179999999999998</v>
      </c>
      <c r="DE11">
        <v>-1.2430000000000001</v>
      </c>
      <c r="DF11">
        <v>5.35</v>
      </c>
      <c r="DG11">
        <v>8.1820000000000004</v>
      </c>
      <c r="DH11">
        <v>7.4880000000000004</v>
      </c>
      <c r="DI11">
        <v>4.2960000000000003</v>
      </c>
      <c r="DJ11">
        <v>3.8519999999999999</v>
      </c>
      <c r="DK11">
        <v>8.43</v>
      </c>
      <c r="DL11">
        <v>6.5540000000000003</v>
      </c>
      <c r="DM11">
        <v>5.1870000000000003</v>
      </c>
      <c r="DN11">
        <v>8.6969999999999992</v>
      </c>
      <c r="DO11">
        <v>6.2050000000000001</v>
      </c>
      <c r="DP11">
        <v>7.3490000000000002</v>
      </c>
      <c r="DQ11">
        <v>-0.317</v>
      </c>
      <c r="DR11">
        <v>5.4340000000000002</v>
      </c>
      <c r="DS11">
        <v>6.149</v>
      </c>
      <c r="DT11">
        <v>7.1479999999999997</v>
      </c>
      <c r="DU11">
        <v>9.0269999999999992</v>
      </c>
      <c r="DV11">
        <v>4.8449999999999998</v>
      </c>
      <c r="DW11">
        <v>4.3120000000000003</v>
      </c>
      <c r="DX11">
        <v>5.3479999999999999</v>
      </c>
      <c r="DY11">
        <v>7.6980000000000004</v>
      </c>
      <c r="DZ11">
        <v>5.2149999999999999</v>
      </c>
      <c r="EA11">
        <v>6.1239999999999997</v>
      </c>
      <c r="EB11">
        <v>6.8639999999999999</v>
      </c>
      <c r="EC11">
        <v>9.2639999999999993</v>
      </c>
      <c r="ED11">
        <v>4.5910000000000002</v>
      </c>
      <c r="EE11">
        <v>5.7830000000000004</v>
      </c>
      <c r="EF11">
        <v>7.4589999999999996</v>
      </c>
      <c r="EG11">
        <v>4.0460000000000003</v>
      </c>
      <c r="EH11">
        <v>8.266</v>
      </c>
      <c r="EI11">
        <v>5.8179999999999996</v>
      </c>
      <c r="EJ11">
        <v>3.6970000000000001</v>
      </c>
      <c r="EK11">
        <v>7.2190000000000003</v>
      </c>
      <c r="EL11">
        <v>2.0499999999999998</v>
      </c>
      <c r="EM11">
        <v>8.6869999999999994</v>
      </c>
      <c r="EN11">
        <v>7.819</v>
      </c>
      <c r="EO11">
        <v>9.5419999999999998</v>
      </c>
      <c r="EP11">
        <v>2.6219999999999999</v>
      </c>
      <c r="EQ11">
        <v>2.778</v>
      </c>
      <c r="ER11">
        <v>7.73</v>
      </c>
      <c r="ES11">
        <v>7.3159999999999998</v>
      </c>
      <c r="ET11">
        <v>7.9969999999999999</v>
      </c>
      <c r="EU11">
        <v>7.0069999999999997</v>
      </c>
      <c r="EV11">
        <v>5.4039999999999999</v>
      </c>
      <c r="EW11">
        <v>5.54</v>
      </c>
      <c r="EX11">
        <v>8.2189999999999994</v>
      </c>
      <c r="EY11">
        <v>3.6840000000000002</v>
      </c>
      <c r="EZ11">
        <v>4.95</v>
      </c>
      <c r="FA11">
        <v>7.6509999999999998</v>
      </c>
      <c r="FB11">
        <v>6.407</v>
      </c>
      <c r="FC11">
        <v>8.6539999999999999</v>
      </c>
      <c r="FD11">
        <v>5.944</v>
      </c>
      <c r="FE11">
        <v>6.26</v>
      </c>
      <c r="FF11">
        <v>5.5519999999999996</v>
      </c>
      <c r="FG11">
        <v>4.9489999999999998</v>
      </c>
      <c r="FH11">
        <v>4.5410000000000004</v>
      </c>
      <c r="FI11">
        <v>5.7670000000000003</v>
      </c>
      <c r="FJ11">
        <v>7.3620000000000001</v>
      </c>
      <c r="FK11">
        <v>3.2450000000000001</v>
      </c>
      <c r="FL11">
        <v>7.06</v>
      </c>
      <c r="FM11">
        <v>5.7240000000000002</v>
      </c>
      <c r="FN11">
        <v>7.5720000000000001</v>
      </c>
      <c r="FO11">
        <v>7.85</v>
      </c>
      <c r="FP11">
        <v>7.577</v>
      </c>
      <c r="FQ11">
        <v>4.1420000000000003</v>
      </c>
      <c r="FR11">
        <v>7.4340000000000002</v>
      </c>
      <c r="FS11">
        <v>4.9489999999999998</v>
      </c>
      <c r="FT11">
        <v>8.2899999999999991</v>
      </c>
      <c r="FU11">
        <v>8.5640000000000001</v>
      </c>
      <c r="FV11">
        <v>6.5289999999999999</v>
      </c>
      <c r="FW11">
        <v>8.1560000000000006</v>
      </c>
      <c r="FX11">
        <v>0.439</v>
      </c>
      <c r="FY11">
        <v>7.9539999999999997</v>
      </c>
      <c r="FZ11">
        <v>2.1459999999999999</v>
      </c>
      <c r="GA11">
        <v>0.40799999999999997</v>
      </c>
      <c r="GB11">
        <v>2.1880000000000002</v>
      </c>
      <c r="GC11">
        <v>6.9509999999999996</v>
      </c>
      <c r="GD11">
        <v>2.7490000000000001</v>
      </c>
      <c r="GE11">
        <v>5.6920000000000002</v>
      </c>
      <c r="GF11">
        <v>5.9260000000000002</v>
      </c>
      <c r="GG11">
        <v>4.45</v>
      </c>
      <c r="GH11">
        <v>6.8230000000000004</v>
      </c>
      <c r="GI11">
        <v>8.99</v>
      </c>
      <c r="GJ11">
        <v>8.6980000000000004</v>
      </c>
      <c r="GK11">
        <v>7.1470000000000002</v>
      </c>
      <c r="GL11">
        <v>1.8360000000000001</v>
      </c>
      <c r="GM11">
        <v>4.7779999999999996</v>
      </c>
      <c r="GN11">
        <v>9.3680000000000003</v>
      </c>
      <c r="GO11">
        <v>5.6390000000000002</v>
      </c>
      <c r="GP11">
        <v>5.3659999999999997</v>
      </c>
      <c r="GQ11">
        <v>5.97</v>
      </c>
      <c r="GR11">
        <v>2.7050000000000001</v>
      </c>
      <c r="GS11">
        <v>5.66</v>
      </c>
      <c r="GT11">
        <v>6.0730000000000004</v>
      </c>
      <c r="GU11">
        <v>-0.51</v>
      </c>
      <c r="GV11">
        <v>8.94</v>
      </c>
      <c r="GW11">
        <v>7.91</v>
      </c>
      <c r="GX11">
        <v>7.6340000000000003</v>
      </c>
      <c r="GY11">
        <v>6.1580000000000004</v>
      </c>
      <c r="GZ11">
        <v>5.899</v>
      </c>
      <c r="HA11">
        <v>5.7279999999999998</v>
      </c>
      <c r="HB11">
        <v>2.2509999999999999</v>
      </c>
      <c r="HC11">
        <v>2.6720000000000002</v>
      </c>
      <c r="HD11">
        <v>6.6040000000000001</v>
      </c>
      <c r="HE11">
        <v>7.9550000000000001</v>
      </c>
      <c r="HF11">
        <v>3.5680000000000001</v>
      </c>
      <c r="HG11">
        <v>5.9059999999999997</v>
      </c>
      <c r="HH11">
        <v>4.0730000000000004</v>
      </c>
      <c r="HI11">
        <v>3.637</v>
      </c>
      <c r="HJ11">
        <v>4.5199999999999996</v>
      </c>
      <c r="HK11">
        <v>9.3859999999999992</v>
      </c>
      <c r="HL11">
        <v>7.8490000000000002</v>
      </c>
      <c r="HM11">
        <v>2.968</v>
      </c>
      <c r="HN11">
        <v>7.7320000000000002</v>
      </c>
      <c r="HO11">
        <v>3.8050000000000002</v>
      </c>
      <c r="HP11">
        <v>7.3470000000000004</v>
      </c>
      <c r="HQ11">
        <v>7.17</v>
      </c>
      <c r="HR11">
        <v>2.0310000000000001</v>
      </c>
      <c r="HS11">
        <v>2.6970000000000001</v>
      </c>
      <c r="HT11">
        <v>3.6429999999999998</v>
      </c>
      <c r="HU11">
        <v>7.7930000000000001</v>
      </c>
      <c r="HV11">
        <v>4.8869999999999996</v>
      </c>
      <c r="HW11">
        <v>5.6980000000000004</v>
      </c>
      <c r="HX11">
        <v>5.9909999999999997</v>
      </c>
      <c r="HY11">
        <v>8.3480000000000008</v>
      </c>
      <c r="HZ11">
        <v>7.4870000000000001</v>
      </c>
      <c r="IA11">
        <v>7.484</v>
      </c>
      <c r="IB11">
        <v>7.4409999999999998</v>
      </c>
      <c r="IC11">
        <v>4.6639999999999997</v>
      </c>
      <c r="ID11">
        <v>4.5419999999999998</v>
      </c>
      <c r="IE11">
        <v>8.077</v>
      </c>
      <c r="IF11">
        <v>9.1839999999999993</v>
      </c>
      <c r="IG11">
        <v>9.0250000000000004</v>
      </c>
      <c r="IH11">
        <v>3.3540000000000001</v>
      </c>
      <c r="II11">
        <v>7.976</v>
      </c>
      <c r="IJ11">
        <v>7.2670000000000003</v>
      </c>
      <c r="IK11">
        <v>5.0250000000000004</v>
      </c>
      <c r="IL11">
        <v>9.5920000000000005</v>
      </c>
      <c r="IM11">
        <v>8.8190000000000008</v>
      </c>
      <c r="IN11">
        <v>7.8330000000000002</v>
      </c>
      <c r="IO11">
        <v>7.7590000000000003</v>
      </c>
      <c r="IP11">
        <v>5.7839999999999998</v>
      </c>
      <c r="IQ11">
        <v>1.667</v>
      </c>
      <c r="IR11">
        <v>5.8</v>
      </c>
      <c r="IS11">
        <v>6.3150000000000004</v>
      </c>
      <c r="IT11">
        <v>7.5090000000000003</v>
      </c>
      <c r="IU11">
        <v>7.2389999999999999</v>
      </c>
      <c r="IV11">
        <v>6.7539999999999996</v>
      </c>
      <c r="IW11">
        <v>4.4950000000000001</v>
      </c>
      <c r="IX11">
        <v>7.6769999999999996</v>
      </c>
      <c r="IY11">
        <v>5.62</v>
      </c>
      <c r="IZ11">
        <v>7.0449999999999999</v>
      </c>
      <c r="JA11">
        <v>7.2969999999999997</v>
      </c>
      <c r="JB11">
        <v>7.5960000000000001</v>
      </c>
      <c r="JC11">
        <v>6.1289999999999996</v>
      </c>
      <c r="JD11">
        <v>7.3689999999999998</v>
      </c>
      <c r="JE11">
        <v>5.1390000000000002</v>
      </c>
      <c r="JF11">
        <v>7.476</v>
      </c>
      <c r="JG11">
        <v>8.0399999999999991</v>
      </c>
      <c r="JH11">
        <v>6.843</v>
      </c>
      <c r="JI11">
        <v>-0.56599999999999995</v>
      </c>
      <c r="JJ11">
        <v>4.92</v>
      </c>
      <c r="JK11">
        <v>3.3039999999999998</v>
      </c>
      <c r="JL11">
        <v>5.3319999999999999</v>
      </c>
      <c r="JM11">
        <v>7.9139999999999997</v>
      </c>
      <c r="JN11">
        <v>7.2919999999999998</v>
      </c>
      <c r="JO11">
        <v>8.4009999999999998</v>
      </c>
      <c r="JP11">
        <v>3.7810000000000001</v>
      </c>
      <c r="JQ11">
        <v>7.9770000000000003</v>
      </c>
      <c r="JR11">
        <v>7.7960000000000003</v>
      </c>
      <c r="JS11">
        <v>6.835</v>
      </c>
      <c r="JT11">
        <v>6.0419999999999998</v>
      </c>
      <c r="JU11">
        <v>7.12</v>
      </c>
      <c r="JV11">
        <v>4.8419999999999996</v>
      </c>
      <c r="JW11">
        <v>9.3379999999999992</v>
      </c>
      <c r="JX11">
        <v>6.9779999999999998</v>
      </c>
      <c r="JY11">
        <v>3.1320000000000001</v>
      </c>
      <c r="JZ11">
        <v>1.9910000000000001</v>
      </c>
      <c r="KA11">
        <v>4.0389999999999997</v>
      </c>
      <c r="KB11">
        <v>7.2309999999999999</v>
      </c>
      <c r="KC11">
        <v>5.3410000000000002</v>
      </c>
      <c r="KD11">
        <v>8.4030000000000005</v>
      </c>
      <c r="KE11">
        <v>4.1239999999999997</v>
      </c>
      <c r="KF11">
        <v>3.141</v>
      </c>
      <c r="KG11">
        <v>8.9280000000000008</v>
      </c>
      <c r="KH11">
        <v>9.2629999999999999</v>
      </c>
      <c r="KI11">
        <v>7.1829999999999998</v>
      </c>
      <c r="KJ11">
        <v>5.1890000000000001</v>
      </c>
      <c r="KK11">
        <v>7.61</v>
      </c>
      <c r="KL11">
        <v>4.7759999999999998</v>
      </c>
      <c r="KM11">
        <v>3.27</v>
      </c>
      <c r="KN11">
        <v>7.8540000000000001</v>
      </c>
      <c r="KO11">
        <v>5.5510000000000002</v>
      </c>
      <c r="KP11">
        <v>2.97</v>
      </c>
      <c r="KQ11">
        <v>0.88700000000000001</v>
      </c>
      <c r="KR11">
        <v>1.9490000000000001</v>
      </c>
    </row>
    <row r="12" spans="1:304" x14ac:dyDescent="0.25">
      <c r="A12">
        <v>11</v>
      </c>
      <c r="C12">
        <v>-6.2640000000000002</v>
      </c>
      <c r="D12">
        <v>3.1110000000000002</v>
      </c>
      <c r="E12">
        <v>3.4350000000000001</v>
      </c>
      <c r="F12">
        <v>2.3439999999999999</v>
      </c>
      <c r="G12">
        <v>1.873</v>
      </c>
      <c r="H12">
        <v>2.2130000000000001</v>
      </c>
      <c r="I12">
        <v>-6.726</v>
      </c>
      <c r="J12">
        <v>-5.0199999999999996</v>
      </c>
      <c r="K12">
        <v>1.2649999999999999</v>
      </c>
      <c r="L12">
        <v>3.63</v>
      </c>
      <c r="M12">
        <v>-0.91100000000000003</v>
      </c>
      <c r="N12">
        <v>2.5249999999999999</v>
      </c>
      <c r="O12">
        <v>-0.83599999999999997</v>
      </c>
      <c r="P12">
        <v>3.5750000000000002</v>
      </c>
      <c r="Q12">
        <v>-8.077</v>
      </c>
      <c r="R12">
        <v>2.4750000000000001</v>
      </c>
      <c r="S12">
        <v>-2.1999999999999999E-2</v>
      </c>
      <c r="T12">
        <v>4.7720000000000002</v>
      </c>
      <c r="U12">
        <v>2.7650000000000001</v>
      </c>
      <c r="V12">
        <v>2.37</v>
      </c>
      <c r="W12">
        <v>2.5710000000000002</v>
      </c>
      <c r="X12">
        <v>2.0289999999999999</v>
      </c>
      <c r="Y12">
        <v>3.629</v>
      </c>
      <c r="Z12">
        <v>-5.2729999999999997</v>
      </c>
      <c r="AA12">
        <v>5.1779999999999999</v>
      </c>
      <c r="AB12">
        <v>4.2149999999999999</v>
      </c>
      <c r="AC12">
        <v>4.0000000000000001E-3</v>
      </c>
      <c r="AD12">
        <v>2.452</v>
      </c>
      <c r="AE12">
        <v>2.855</v>
      </c>
      <c r="AF12">
        <v>3.4870000000000001</v>
      </c>
      <c r="AG12">
        <v>-1.042</v>
      </c>
      <c r="AH12">
        <v>-6.7939999999999996</v>
      </c>
      <c r="AI12">
        <v>-0.89300000000000002</v>
      </c>
      <c r="AJ12">
        <v>0.73399999999999999</v>
      </c>
      <c r="AK12">
        <v>3.5379999999999998</v>
      </c>
      <c r="AL12">
        <v>1.643</v>
      </c>
      <c r="AM12">
        <v>2.2130000000000001</v>
      </c>
      <c r="AN12">
        <v>3.6669999999999998</v>
      </c>
      <c r="AO12">
        <v>2.36</v>
      </c>
      <c r="AP12">
        <v>0.99299999999999999</v>
      </c>
      <c r="AQ12">
        <v>4.1180000000000003</v>
      </c>
      <c r="AR12">
        <v>1.2669999999999999</v>
      </c>
      <c r="AS12">
        <v>6.2640000000000002</v>
      </c>
      <c r="AT12">
        <v>0.7</v>
      </c>
      <c r="AU12">
        <v>2.8919999999999999</v>
      </c>
      <c r="AV12">
        <v>1.165</v>
      </c>
      <c r="AW12">
        <v>1.087</v>
      </c>
      <c r="AX12">
        <v>0.56699999999999995</v>
      </c>
      <c r="AY12">
        <v>3.9540000000000002</v>
      </c>
      <c r="AZ12">
        <v>-4.9039999999999999</v>
      </c>
      <c r="BA12">
        <v>1.6970000000000001</v>
      </c>
      <c r="BB12">
        <v>-4.0720000000000001</v>
      </c>
      <c r="BC12">
        <v>2.42</v>
      </c>
      <c r="BD12">
        <v>2.2669999999999999</v>
      </c>
      <c r="BE12">
        <v>2.9209999999999998</v>
      </c>
      <c r="BF12">
        <v>2.8849999999999998</v>
      </c>
      <c r="BG12">
        <v>-7.5250000000000004</v>
      </c>
      <c r="BH12">
        <v>-7.8040000000000003</v>
      </c>
      <c r="BI12">
        <v>3.02</v>
      </c>
      <c r="BJ12">
        <v>5.4630000000000001</v>
      </c>
      <c r="BK12">
        <v>3.4359999999999999</v>
      </c>
      <c r="BL12">
        <v>2.9540000000000002</v>
      </c>
      <c r="BM12">
        <v>-0.11899999999999999</v>
      </c>
      <c r="BN12">
        <v>2.1349999999999998</v>
      </c>
      <c r="BO12">
        <v>1.095</v>
      </c>
      <c r="BP12">
        <v>3.73</v>
      </c>
      <c r="BQ12">
        <v>-2.657</v>
      </c>
      <c r="BR12">
        <v>4.2030000000000003</v>
      </c>
      <c r="BS12">
        <v>2.819</v>
      </c>
      <c r="BT12">
        <v>-3.6779999999999999</v>
      </c>
      <c r="BU12">
        <v>-2.512</v>
      </c>
      <c r="BV12">
        <v>0.44700000000000001</v>
      </c>
      <c r="BW12">
        <v>3.871</v>
      </c>
      <c r="BX12">
        <v>-6.8780000000000001</v>
      </c>
      <c r="BY12">
        <v>4.3310000000000004</v>
      </c>
      <c r="BZ12">
        <v>2.6309999999999998</v>
      </c>
      <c r="CA12">
        <v>1.9930000000000001</v>
      </c>
      <c r="CB12">
        <v>0.55800000000000005</v>
      </c>
      <c r="CC12">
        <v>1.91</v>
      </c>
      <c r="CD12">
        <v>2.75</v>
      </c>
      <c r="CE12">
        <v>8.6999999999999994E-2</v>
      </c>
      <c r="CF12">
        <v>0.95</v>
      </c>
      <c r="CG12">
        <v>2.698</v>
      </c>
      <c r="CH12">
        <v>0.437</v>
      </c>
      <c r="CI12">
        <v>0.22</v>
      </c>
      <c r="CJ12">
        <v>3.3809999999999998</v>
      </c>
      <c r="CK12">
        <v>1.397</v>
      </c>
      <c r="CL12">
        <v>5.1980000000000004</v>
      </c>
      <c r="CM12">
        <v>1.544</v>
      </c>
      <c r="CN12">
        <v>3.323</v>
      </c>
      <c r="CO12">
        <v>1.5169999999999999</v>
      </c>
      <c r="CP12">
        <v>-7.5069999999999997</v>
      </c>
      <c r="CQ12">
        <v>-4.83</v>
      </c>
      <c r="CR12">
        <v>2.92</v>
      </c>
      <c r="CS12">
        <v>2.871</v>
      </c>
      <c r="CT12">
        <v>-4.0540000000000003</v>
      </c>
      <c r="CU12">
        <v>4.8120000000000003</v>
      </c>
      <c r="CV12">
        <v>-8.3049999999999997</v>
      </c>
      <c r="CW12">
        <v>1.222</v>
      </c>
      <c r="CX12">
        <v>3.1829999999999998</v>
      </c>
      <c r="CY12">
        <v>1.631</v>
      </c>
      <c r="CZ12">
        <v>5.0199999999999996</v>
      </c>
      <c r="DA12">
        <v>2.5539999999999998</v>
      </c>
      <c r="DB12">
        <v>2.5539999999999998</v>
      </c>
      <c r="DC12">
        <v>3.504</v>
      </c>
      <c r="DD12">
        <v>2.9529999999999998</v>
      </c>
      <c r="DE12">
        <v>-8.4870000000000001</v>
      </c>
      <c r="DF12">
        <v>2.911</v>
      </c>
      <c r="DG12">
        <v>1.9350000000000001</v>
      </c>
      <c r="DH12">
        <v>2.0070000000000001</v>
      </c>
      <c r="DI12">
        <v>0.42299999999999999</v>
      </c>
      <c r="DJ12">
        <v>-1.3740000000000001</v>
      </c>
      <c r="DK12">
        <v>2.714</v>
      </c>
      <c r="DL12">
        <v>3.863</v>
      </c>
      <c r="DM12">
        <v>2.2349999999999999</v>
      </c>
      <c r="DN12">
        <v>5.3529999999999998</v>
      </c>
      <c r="DO12">
        <v>2.1880000000000002</v>
      </c>
      <c r="DP12">
        <v>4.9560000000000004</v>
      </c>
      <c r="DQ12">
        <v>-10.430999999999999</v>
      </c>
      <c r="DR12">
        <v>0.35299999999999998</v>
      </c>
      <c r="DS12">
        <v>1.8979999999999999</v>
      </c>
      <c r="DT12">
        <v>3.4849999999999999</v>
      </c>
      <c r="DU12">
        <v>5.24</v>
      </c>
      <c r="DV12">
        <v>2.1240000000000001</v>
      </c>
      <c r="DW12">
        <v>3.976</v>
      </c>
      <c r="DX12">
        <v>-3.0129999999999999</v>
      </c>
      <c r="DY12">
        <v>3.01</v>
      </c>
      <c r="DZ12">
        <v>3.363</v>
      </c>
      <c r="EA12">
        <v>3.0089999999999999</v>
      </c>
      <c r="EB12">
        <v>1.1759999999999999</v>
      </c>
      <c r="EC12">
        <v>3.306</v>
      </c>
      <c r="ED12">
        <v>-0.14000000000000001</v>
      </c>
      <c r="EE12">
        <v>1.4850000000000001</v>
      </c>
      <c r="EF12">
        <v>0.42499999999999999</v>
      </c>
      <c r="EG12">
        <v>-1.8819999999999999</v>
      </c>
      <c r="EH12">
        <v>5.1639999999999997</v>
      </c>
      <c r="EI12">
        <v>0.14299999999999999</v>
      </c>
      <c r="EJ12">
        <v>-3.2730000000000001</v>
      </c>
      <c r="EK12">
        <v>2.637</v>
      </c>
      <c r="EL12">
        <v>-0.89500000000000002</v>
      </c>
      <c r="EM12">
        <v>5.9480000000000004</v>
      </c>
      <c r="EN12">
        <v>1.5960000000000001</v>
      </c>
      <c r="EO12">
        <v>5.1429999999999998</v>
      </c>
      <c r="EP12">
        <v>-1.2150000000000001</v>
      </c>
      <c r="EQ12">
        <v>-4.8319999999999999</v>
      </c>
      <c r="ER12">
        <v>1.2</v>
      </c>
      <c r="ES12">
        <v>1.0249999999999999</v>
      </c>
      <c r="ET12">
        <v>2.6280000000000001</v>
      </c>
      <c r="EU12">
        <v>2.6829999999999998</v>
      </c>
      <c r="EV12">
        <v>-2.6070000000000002</v>
      </c>
      <c r="EW12">
        <v>2.802</v>
      </c>
      <c r="EX12">
        <v>3.605</v>
      </c>
      <c r="EY12">
        <v>0.73599999999999999</v>
      </c>
      <c r="EZ12">
        <v>1.6719999999999999</v>
      </c>
      <c r="FA12">
        <v>5.2770000000000001</v>
      </c>
      <c r="FB12">
        <v>2.3370000000000002</v>
      </c>
      <c r="FC12">
        <v>4.8330000000000002</v>
      </c>
      <c r="FD12">
        <v>2.8620000000000001</v>
      </c>
      <c r="FE12">
        <v>2.0489999999999999</v>
      </c>
      <c r="FF12">
        <v>7.5999999999999998E-2</v>
      </c>
      <c r="FG12">
        <v>-2.903</v>
      </c>
      <c r="FH12">
        <v>0.77</v>
      </c>
      <c r="FI12">
        <v>2.8330000000000002</v>
      </c>
      <c r="FJ12">
        <v>2.2709999999999999</v>
      </c>
      <c r="FK12">
        <v>-4.258</v>
      </c>
      <c r="FL12">
        <v>3.38</v>
      </c>
      <c r="FM12">
        <v>2.6819999999999999</v>
      </c>
      <c r="FN12">
        <v>2.7930000000000001</v>
      </c>
      <c r="FO12">
        <v>4.0910000000000002</v>
      </c>
      <c r="FP12">
        <v>0.71199999999999997</v>
      </c>
      <c r="FQ12">
        <v>0.21099999999999999</v>
      </c>
      <c r="FR12">
        <v>2.7789999999999999</v>
      </c>
      <c r="FS12">
        <v>-0.66800000000000004</v>
      </c>
      <c r="FT12">
        <v>3.3559999999999999</v>
      </c>
      <c r="FU12">
        <v>2.6320000000000001</v>
      </c>
      <c r="FV12">
        <v>4.125</v>
      </c>
      <c r="FW12">
        <v>3.5779999999999998</v>
      </c>
      <c r="FX12">
        <v>-7.1669999999999998</v>
      </c>
      <c r="FY12">
        <v>3.5939999999999999</v>
      </c>
      <c r="FZ12">
        <v>-5.2619999999999996</v>
      </c>
      <c r="GA12">
        <v>-6.04</v>
      </c>
      <c r="GB12">
        <v>-1.786</v>
      </c>
      <c r="GC12">
        <v>3.4129999999999998</v>
      </c>
      <c r="GD12">
        <v>-0.57899999999999996</v>
      </c>
      <c r="GE12">
        <v>1.0429999999999999</v>
      </c>
      <c r="GF12">
        <v>2.92</v>
      </c>
      <c r="GG12">
        <v>0.76800000000000002</v>
      </c>
      <c r="GH12">
        <v>2.2269999999999999</v>
      </c>
      <c r="GI12">
        <v>4.9180000000000001</v>
      </c>
      <c r="GJ12">
        <v>4.6440000000000001</v>
      </c>
      <c r="GK12">
        <v>2.367</v>
      </c>
      <c r="GL12">
        <v>-2.9180000000000001</v>
      </c>
      <c r="GM12">
        <v>1.204</v>
      </c>
      <c r="GN12">
        <v>4.2160000000000002</v>
      </c>
      <c r="GO12">
        <v>1.6419999999999999</v>
      </c>
      <c r="GP12">
        <v>2.0379999999999998</v>
      </c>
      <c r="GQ12">
        <v>0.30599999999999999</v>
      </c>
      <c r="GR12">
        <v>-4.21</v>
      </c>
      <c r="GS12">
        <v>2.8159999999999998</v>
      </c>
      <c r="GT12">
        <v>3.1429999999999998</v>
      </c>
      <c r="GU12">
        <v>-7.351</v>
      </c>
      <c r="GV12">
        <v>6.3680000000000003</v>
      </c>
      <c r="GW12">
        <v>4.5650000000000004</v>
      </c>
      <c r="GX12">
        <v>5.3879999999999999</v>
      </c>
      <c r="GY12">
        <v>3.1240000000000001</v>
      </c>
      <c r="GZ12">
        <v>3.1080000000000001</v>
      </c>
      <c r="HA12">
        <v>3.1619999999999999</v>
      </c>
      <c r="HB12">
        <v>-1.8</v>
      </c>
      <c r="HC12">
        <v>-6.6509999999999998</v>
      </c>
      <c r="HD12">
        <v>2.5990000000000002</v>
      </c>
      <c r="HE12">
        <v>4.7569999999999997</v>
      </c>
      <c r="HF12">
        <v>-1.653</v>
      </c>
      <c r="HG12">
        <v>3.0739999999999998</v>
      </c>
      <c r="HH12">
        <v>-1.9419999999999999</v>
      </c>
      <c r="HI12">
        <v>0.80800000000000005</v>
      </c>
      <c r="HJ12">
        <v>1.304</v>
      </c>
      <c r="HK12">
        <v>2.1459999999999999</v>
      </c>
      <c r="HL12">
        <v>4.7939999999999996</v>
      </c>
      <c r="HM12">
        <v>0.246</v>
      </c>
      <c r="HN12">
        <v>2.2530000000000001</v>
      </c>
      <c r="HO12">
        <v>-1.8</v>
      </c>
      <c r="HP12">
        <v>2.6320000000000001</v>
      </c>
      <c r="HQ12">
        <v>2.601</v>
      </c>
      <c r="HR12">
        <v>-3.12</v>
      </c>
      <c r="HS12">
        <v>-3.9289999999999998</v>
      </c>
      <c r="HT12">
        <v>0.193</v>
      </c>
      <c r="HU12">
        <v>2.6080000000000001</v>
      </c>
      <c r="HV12">
        <v>0.46500000000000002</v>
      </c>
      <c r="HW12">
        <v>2.9180000000000001</v>
      </c>
      <c r="HX12">
        <v>2.7349999999999999</v>
      </c>
      <c r="HY12">
        <v>4.492</v>
      </c>
      <c r="HZ12">
        <v>2.6219999999999999</v>
      </c>
      <c r="IA12">
        <v>1.474</v>
      </c>
      <c r="IB12">
        <v>2.3420000000000001</v>
      </c>
      <c r="IC12">
        <v>0.86299999999999999</v>
      </c>
      <c r="ID12">
        <v>-2.1539999999999999</v>
      </c>
      <c r="IE12">
        <v>2.3090000000000002</v>
      </c>
      <c r="IF12">
        <v>3.2229999999999999</v>
      </c>
      <c r="IG12">
        <v>3.9910000000000001</v>
      </c>
      <c r="IH12">
        <v>-0.30399999999999999</v>
      </c>
      <c r="II12">
        <v>4.3710000000000004</v>
      </c>
      <c r="IJ12">
        <v>3.1509999999999998</v>
      </c>
      <c r="IK12">
        <v>2.5720000000000001</v>
      </c>
      <c r="IL12">
        <v>5.25</v>
      </c>
      <c r="IM12">
        <v>3.3889999999999998</v>
      </c>
      <c r="IN12">
        <v>3.286</v>
      </c>
      <c r="IO12">
        <v>3.069</v>
      </c>
      <c r="IP12">
        <v>2.62</v>
      </c>
      <c r="IQ12">
        <v>-4.718</v>
      </c>
      <c r="IR12">
        <v>1.155</v>
      </c>
      <c r="IS12">
        <v>1.163</v>
      </c>
      <c r="IT12">
        <v>2.9729999999999999</v>
      </c>
      <c r="IU12">
        <v>3.419</v>
      </c>
      <c r="IV12">
        <v>1.2110000000000001</v>
      </c>
      <c r="IW12">
        <v>-1.5469999999999999</v>
      </c>
      <c r="IX12">
        <v>2.6909999999999998</v>
      </c>
      <c r="IY12">
        <v>2.5550000000000002</v>
      </c>
      <c r="IZ12">
        <v>1.673</v>
      </c>
      <c r="JA12">
        <v>3.105</v>
      </c>
      <c r="JB12">
        <v>1.4239999999999999</v>
      </c>
      <c r="JC12">
        <v>3.46</v>
      </c>
      <c r="JD12">
        <v>2.052</v>
      </c>
      <c r="JE12">
        <v>-1.423</v>
      </c>
      <c r="JF12">
        <v>3.2250000000000001</v>
      </c>
      <c r="JG12">
        <v>5.5190000000000001</v>
      </c>
      <c r="JH12">
        <v>2.6120000000000001</v>
      </c>
      <c r="JI12">
        <v>-7.05</v>
      </c>
      <c r="JJ12">
        <v>0.84399999999999997</v>
      </c>
      <c r="JK12">
        <v>-3.56</v>
      </c>
      <c r="JL12">
        <v>2.3450000000000002</v>
      </c>
      <c r="JM12">
        <v>4.24</v>
      </c>
      <c r="JN12">
        <v>1.7889999999999999</v>
      </c>
      <c r="JO12">
        <v>2.8079999999999998</v>
      </c>
      <c r="JP12">
        <v>-0.871</v>
      </c>
      <c r="JQ12">
        <v>3.319</v>
      </c>
      <c r="JR12">
        <v>3.1949999999999998</v>
      </c>
      <c r="JS12">
        <v>4.1820000000000004</v>
      </c>
      <c r="JT12">
        <v>1.913</v>
      </c>
      <c r="JU12">
        <v>1.966</v>
      </c>
      <c r="JV12">
        <v>2.31</v>
      </c>
      <c r="JW12">
        <v>5.4320000000000004</v>
      </c>
      <c r="JX12">
        <v>4.2809999999999997</v>
      </c>
      <c r="JY12">
        <v>3.1320000000000001</v>
      </c>
      <c r="JZ12">
        <v>-3.073</v>
      </c>
      <c r="KA12">
        <v>1.5760000000000001</v>
      </c>
      <c r="KB12">
        <v>2.6389999999999998</v>
      </c>
      <c r="KC12">
        <v>0.998</v>
      </c>
      <c r="KD12">
        <v>2.246</v>
      </c>
      <c r="KE12">
        <v>-3.0470000000000002</v>
      </c>
      <c r="KF12">
        <v>-8.4339999999999993</v>
      </c>
      <c r="KG12">
        <v>3.5720000000000001</v>
      </c>
      <c r="KH12">
        <v>6.44</v>
      </c>
      <c r="KI12">
        <v>3.0419999999999998</v>
      </c>
      <c r="KJ12">
        <v>2.1160000000000001</v>
      </c>
      <c r="KK12">
        <v>3.4060000000000001</v>
      </c>
      <c r="KL12">
        <v>0.53200000000000003</v>
      </c>
      <c r="KM12">
        <v>-1.329</v>
      </c>
      <c r="KN12">
        <v>2.738</v>
      </c>
      <c r="KO12">
        <v>3.7930000000000001</v>
      </c>
      <c r="KP12">
        <v>-0.33700000000000002</v>
      </c>
      <c r="KQ12">
        <v>-7.38</v>
      </c>
      <c r="KR12">
        <v>-6.367</v>
      </c>
    </row>
    <row r="13" spans="1:304" x14ac:dyDescent="0.25">
      <c r="A13">
        <v>12</v>
      </c>
      <c r="C13">
        <v>-7.3440000000000003</v>
      </c>
      <c r="D13">
        <v>-2.6219999999999999</v>
      </c>
      <c r="E13">
        <v>2.597</v>
      </c>
      <c r="F13">
        <v>0.46600000000000003</v>
      </c>
      <c r="G13">
        <v>1.202</v>
      </c>
      <c r="H13">
        <v>-3.1640000000000001</v>
      </c>
      <c r="I13">
        <v>-7.6150000000000002</v>
      </c>
      <c r="J13">
        <v>-7.742</v>
      </c>
      <c r="K13">
        <v>-1.0940000000000001</v>
      </c>
      <c r="L13">
        <v>0.45900000000000002</v>
      </c>
      <c r="M13">
        <v>-0.71599999999999997</v>
      </c>
      <c r="N13">
        <v>0.60299999999999998</v>
      </c>
      <c r="O13">
        <v>-7.8440000000000003</v>
      </c>
      <c r="P13">
        <v>-1.546</v>
      </c>
      <c r="Q13">
        <v>-5.65</v>
      </c>
      <c r="R13">
        <v>0.82199999999999995</v>
      </c>
      <c r="S13">
        <v>-4.1920000000000002</v>
      </c>
      <c r="T13">
        <v>-1.5269999999999999</v>
      </c>
      <c r="U13">
        <v>-6.1269999999999998</v>
      </c>
      <c r="V13">
        <v>0.153</v>
      </c>
      <c r="W13">
        <v>0.98299999999999998</v>
      </c>
      <c r="X13">
        <v>1.538</v>
      </c>
      <c r="Y13">
        <v>0.69799999999999995</v>
      </c>
      <c r="Z13">
        <v>-5.726</v>
      </c>
      <c r="AA13">
        <v>2.2490000000000001</v>
      </c>
      <c r="AB13">
        <v>2.2389999999999999</v>
      </c>
      <c r="AC13">
        <v>-1.7909999999999999</v>
      </c>
      <c r="AD13">
        <v>0.37</v>
      </c>
      <c r="AE13">
        <v>-0.17699999999999999</v>
      </c>
      <c r="AF13">
        <v>-3.0609999999999999</v>
      </c>
      <c r="AG13">
        <v>-4.8339999999999996</v>
      </c>
      <c r="AH13">
        <v>-6.9790000000000001</v>
      </c>
      <c r="AI13">
        <v>-4.0540000000000003</v>
      </c>
      <c r="AJ13">
        <v>-2.1659999999999999</v>
      </c>
      <c r="AK13">
        <v>-0.40200000000000002</v>
      </c>
      <c r="AL13">
        <v>-1.54</v>
      </c>
      <c r="AM13">
        <v>-3.0630000000000002</v>
      </c>
      <c r="AN13">
        <v>2.1360000000000001</v>
      </c>
      <c r="AO13">
        <v>0.66300000000000003</v>
      </c>
      <c r="AP13">
        <v>-4.9969999999999999</v>
      </c>
      <c r="AQ13">
        <v>-0.61799999999999999</v>
      </c>
      <c r="AR13">
        <v>-0.187</v>
      </c>
      <c r="AS13">
        <v>3.01</v>
      </c>
      <c r="AT13">
        <v>-6.1980000000000004</v>
      </c>
      <c r="AU13">
        <v>-4.4329999999999998</v>
      </c>
      <c r="AV13">
        <v>-3.2229999999999999</v>
      </c>
      <c r="AW13">
        <v>7.5999999999999998E-2</v>
      </c>
      <c r="AX13">
        <v>0.13800000000000001</v>
      </c>
      <c r="AY13">
        <v>-3.4</v>
      </c>
      <c r="AZ13">
        <v>-6.3250000000000002</v>
      </c>
      <c r="BA13">
        <v>0.54300000000000004</v>
      </c>
      <c r="BB13">
        <v>-4.5090000000000003</v>
      </c>
      <c r="BC13">
        <v>-6.4710000000000001</v>
      </c>
      <c r="BD13">
        <v>6.0999999999999999E-2</v>
      </c>
      <c r="BE13">
        <v>0.83799999999999997</v>
      </c>
      <c r="BF13">
        <v>-3.9980000000000002</v>
      </c>
      <c r="BG13">
        <v>-10.538</v>
      </c>
      <c r="BH13">
        <v>-10.871</v>
      </c>
      <c r="BI13">
        <v>-4.1760000000000002</v>
      </c>
      <c r="BJ13">
        <v>1.3360000000000001</v>
      </c>
      <c r="BK13">
        <v>-1.1439999999999999</v>
      </c>
      <c r="BL13">
        <v>-3.7269999999999999</v>
      </c>
      <c r="BM13">
        <v>-4.6280000000000001</v>
      </c>
      <c r="BN13">
        <v>0.61099999999999999</v>
      </c>
      <c r="BO13">
        <v>-3.665</v>
      </c>
      <c r="BP13">
        <v>1.2070000000000001</v>
      </c>
      <c r="BQ13">
        <v>-5.8380000000000001</v>
      </c>
      <c r="BR13">
        <v>-3.0539999999999998</v>
      </c>
      <c r="BS13">
        <v>-0.27800000000000002</v>
      </c>
      <c r="BT13">
        <v>-3.6920000000000002</v>
      </c>
      <c r="BU13">
        <v>-6.1849999999999996</v>
      </c>
      <c r="BV13">
        <v>-5.5830000000000002</v>
      </c>
      <c r="BW13">
        <v>0.58799999999999997</v>
      </c>
      <c r="BX13">
        <v>-11.045999999999999</v>
      </c>
      <c r="BY13">
        <v>0.66500000000000004</v>
      </c>
      <c r="BZ13">
        <v>-4.9180000000000001</v>
      </c>
      <c r="CA13">
        <v>-0.58299999999999996</v>
      </c>
      <c r="CB13">
        <v>-5.7569999999999997</v>
      </c>
      <c r="CC13">
        <v>0.59899999999999998</v>
      </c>
      <c r="CD13">
        <v>-0.27800000000000002</v>
      </c>
      <c r="CE13">
        <v>-3.49</v>
      </c>
      <c r="CF13">
        <v>-1.03</v>
      </c>
      <c r="CG13">
        <v>0.56000000000000005</v>
      </c>
      <c r="CH13">
        <v>-4.1509999999999998</v>
      </c>
      <c r="CI13">
        <v>-5.6429999999999998</v>
      </c>
      <c r="CJ13">
        <v>2.774</v>
      </c>
      <c r="CK13">
        <v>2.7869999999999999</v>
      </c>
      <c r="CL13">
        <v>0.57899999999999996</v>
      </c>
      <c r="CM13">
        <v>-0.64800000000000002</v>
      </c>
      <c r="CN13">
        <v>1.597</v>
      </c>
      <c r="CO13">
        <v>-0.28899999999999998</v>
      </c>
      <c r="CP13">
        <v>-13.112</v>
      </c>
      <c r="CQ13">
        <v>-6.7690000000000001</v>
      </c>
      <c r="CR13">
        <v>0.93799999999999994</v>
      </c>
      <c r="CS13">
        <v>-4.1159999999999997</v>
      </c>
      <c r="CT13">
        <v>-5.0609999999999999</v>
      </c>
      <c r="CU13">
        <v>2.113</v>
      </c>
      <c r="CV13">
        <v>-14.21</v>
      </c>
      <c r="CW13">
        <v>-1.633</v>
      </c>
      <c r="CX13">
        <v>-0.52800000000000002</v>
      </c>
      <c r="CY13">
        <v>-3.0710000000000002</v>
      </c>
      <c r="CZ13">
        <v>1.714</v>
      </c>
      <c r="DA13">
        <v>0.44700000000000001</v>
      </c>
      <c r="DB13">
        <v>0.44700000000000001</v>
      </c>
      <c r="DC13">
        <v>-4.0590000000000002</v>
      </c>
      <c r="DD13">
        <v>1.5089999999999999</v>
      </c>
      <c r="DE13">
        <v>-11.875999999999999</v>
      </c>
      <c r="DF13">
        <v>-4.343</v>
      </c>
      <c r="DG13">
        <v>-0.38700000000000001</v>
      </c>
      <c r="DH13">
        <v>4.3999999999999997E-2</v>
      </c>
      <c r="DI13">
        <v>-4.5030000000000001</v>
      </c>
      <c r="DJ13">
        <v>-8.0180000000000007</v>
      </c>
      <c r="DK13">
        <v>2.1309999999999998</v>
      </c>
      <c r="DL13">
        <v>-3.12</v>
      </c>
      <c r="DM13">
        <v>0.56499999999999995</v>
      </c>
      <c r="DN13">
        <v>1.2270000000000001</v>
      </c>
      <c r="DO13">
        <v>-3.4329999999999998</v>
      </c>
      <c r="DP13">
        <v>1.0549999999999999</v>
      </c>
      <c r="DQ13">
        <v>-8.2270000000000003</v>
      </c>
      <c r="DR13">
        <v>-2.71</v>
      </c>
      <c r="DS13">
        <v>-3.5249999999999999</v>
      </c>
      <c r="DT13">
        <v>1.298</v>
      </c>
      <c r="DU13">
        <v>0.8</v>
      </c>
      <c r="DV13">
        <v>0.373</v>
      </c>
      <c r="DW13">
        <v>0.53400000000000003</v>
      </c>
      <c r="DX13">
        <v>-4.4820000000000002</v>
      </c>
      <c r="DY13">
        <v>2.4369999999999998</v>
      </c>
      <c r="DZ13">
        <v>-0.56599999999999995</v>
      </c>
      <c r="EA13">
        <v>0.998</v>
      </c>
      <c r="EB13">
        <v>1.39</v>
      </c>
      <c r="EC13">
        <v>1.377</v>
      </c>
      <c r="ED13">
        <v>-3.83</v>
      </c>
      <c r="EE13">
        <v>0.38300000000000001</v>
      </c>
      <c r="EF13">
        <v>-0.52400000000000002</v>
      </c>
      <c r="EG13">
        <v>-2.8650000000000002</v>
      </c>
      <c r="EH13">
        <v>2.3220000000000001</v>
      </c>
      <c r="EI13">
        <v>-5.12</v>
      </c>
      <c r="EJ13">
        <v>-12.019</v>
      </c>
      <c r="EK13">
        <v>1.5780000000000001</v>
      </c>
      <c r="EL13">
        <v>-9.9160000000000004</v>
      </c>
      <c r="EM13">
        <v>1.7909999999999999</v>
      </c>
      <c r="EN13">
        <v>-4.3959999999999999</v>
      </c>
      <c r="EO13">
        <v>2.3380000000000001</v>
      </c>
      <c r="EP13">
        <v>-6.5540000000000003</v>
      </c>
      <c r="EQ13">
        <v>-7.048</v>
      </c>
      <c r="ER13">
        <v>-1.6819999999999999</v>
      </c>
      <c r="ES13">
        <v>2.3380000000000001</v>
      </c>
      <c r="ET13">
        <v>1.6479999999999999</v>
      </c>
      <c r="EU13">
        <v>1.3520000000000001</v>
      </c>
      <c r="EV13">
        <v>-7.0369999999999999</v>
      </c>
      <c r="EW13">
        <v>0.83599999999999997</v>
      </c>
      <c r="EX13">
        <v>0.879</v>
      </c>
      <c r="EY13">
        <v>-4.2530000000000001</v>
      </c>
      <c r="EZ13">
        <v>-3.6469999999999998</v>
      </c>
      <c r="FA13">
        <v>1.1160000000000001</v>
      </c>
      <c r="FB13">
        <v>0.21</v>
      </c>
      <c r="FC13">
        <v>-1.4159999999999999</v>
      </c>
      <c r="FD13">
        <v>-0.16600000000000001</v>
      </c>
      <c r="FE13">
        <v>-3.677</v>
      </c>
      <c r="FF13">
        <v>-1.837</v>
      </c>
      <c r="FG13">
        <v>-4.4539999999999997</v>
      </c>
      <c r="FH13">
        <v>-5.4269999999999996</v>
      </c>
      <c r="FI13">
        <v>8.7999999999999995E-2</v>
      </c>
      <c r="FJ13">
        <v>-0.72099999999999997</v>
      </c>
      <c r="FK13">
        <v>-6.9980000000000002</v>
      </c>
      <c r="FL13">
        <v>-4.2489999999999997</v>
      </c>
      <c r="FM13">
        <v>-2.2639999999999998</v>
      </c>
      <c r="FN13">
        <v>-1.2150000000000001</v>
      </c>
      <c r="FO13">
        <v>1.478</v>
      </c>
      <c r="FP13">
        <v>-2.1989999999999998</v>
      </c>
      <c r="FQ13">
        <v>-0.91500000000000004</v>
      </c>
      <c r="FR13">
        <v>0.41</v>
      </c>
      <c r="FS13">
        <v>-3.4630000000000001</v>
      </c>
      <c r="FT13">
        <v>0.56999999999999995</v>
      </c>
      <c r="FU13">
        <v>1.2589999999999999</v>
      </c>
      <c r="FV13">
        <v>-3.0569999999999999</v>
      </c>
      <c r="FW13">
        <v>-0.73799999999999999</v>
      </c>
      <c r="FX13">
        <v>-14.256</v>
      </c>
      <c r="FY13">
        <v>2.8940000000000001</v>
      </c>
      <c r="FZ13">
        <v>-4.3710000000000004</v>
      </c>
      <c r="GA13">
        <v>-9.0719999999999992</v>
      </c>
      <c r="GB13">
        <v>-6.8490000000000002</v>
      </c>
      <c r="GC13">
        <v>-0.622</v>
      </c>
      <c r="GD13">
        <v>-6.69</v>
      </c>
      <c r="GE13">
        <v>-4.8470000000000004</v>
      </c>
      <c r="GF13">
        <v>1.0149999999999999</v>
      </c>
      <c r="GG13">
        <v>-0.71</v>
      </c>
      <c r="GH13">
        <v>0.41499999999999998</v>
      </c>
      <c r="GI13">
        <v>0.94299999999999995</v>
      </c>
      <c r="GJ13">
        <v>1.875</v>
      </c>
      <c r="GK13">
        <v>-1.1160000000000001</v>
      </c>
      <c r="GL13">
        <v>-8.0939999999999994</v>
      </c>
      <c r="GM13">
        <v>-4.6070000000000002</v>
      </c>
      <c r="GN13">
        <v>1.927</v>
      </c>
      <c r="GO13">
        <v>-1.802</v>
      </c>
      <c r="GP13">
        <v>-1.4039999999999999</v>
      </c>
      <c r="GQ13">
        <v>-5.1349999999999998</v>
      </c>
      <c r="GR13">
        <v>-6.0960000000000001</v>
      </c>
      <c r="GS13">
        <v>0.89800000000000002</v>
      </c>
      <c r="GT13">
        <v>-0.224</v>
      </c>
      <c r="GU13">
        <v>-6.6269999999999998</v>
      </c>
      <c r="GV13">
        <v>1.3919999999999999</v>
      </c>
      <c r="GW13">
        <v>2.6779999999999999</v>
      </c>
      <c r="GX13">
        <v>1.6479999999999999</v>
      </c>
      <c r="GY13">
        <v>-1.8580000000000001</v>
      </c>
      <c r="GZ13">
        <v>-0.192</v>
      </c>
      <c r="HA13">
        <v>-3.403</v>
      </c>
      <c r="HB13">
        <v>-6.298</v>
      </c>
      <c r="HC13">
        <v>-10.952999999999999</v>
      </c>
      <c r="HD13">
        <v>-3.0979999999999999</v>
      </c>
      <c r="HE13">
        <v>-0.2</v>
      </c>
      <c r="HF13">
        <v>-5.851</v>
      </c>
      <c r="HG13">
        <v>0.97699999999999998</v>
      </c>
      <c r="HH13">
        <v>-6.6369999999999996</v>
      </c>
      <c r="HI13">
        <v>-4.25</v>
      </c>
      <c r="HJ13">
        <v>-2.3279999999999998</v>
      </c>
      <c r="HK13">
        <v>1.7549999999999999</v>
      </c>
      <c r="HL13">
        <v>2.2370000000000001</v>
      </c>
      <c r="HM13">
        <v>-6.25</v>
      </c>
      <c r="HN13">
        <v>-0.05</v>
      </c>
      <c r="HO13">
        <v>-5.7220000000000004</v>
      </c>
      <c r="HP13">
        <v>1.2450000000000001</v>
      </c>
      <c r="HQ13">
        <v>-2.6139999999999999</v>
      </c>
      <c r="HR13">
        <v>-8.6029999999999998</v>
      </c>
      <c r="HS13">
        <v>-10.843999999999999</v>
      </c>
      <c r="HT13">
        <v>-3.6339999999999999</v>
      </c>
      <c r="HU13">
        <v>-0.71299999999999997</v>
      </c>
      <c r="HV13">
        <v>-0.35599999999999998</v>
      </c>
      <c r="HW13">
        <v>-1.0580000000000001</v>
      </c>
      <c r="HX13">
        <v>0.54900000000000004</v>
      </c>
      <c r="HY13">
        <v>0.78100000000000003</v>
      </c>
      <c r="HZ13">
        <v>-0.42099999999999999</v>
      </c>
      <c r="IA13">
        <v>-0.83099999999999996</v>
      </c>
      <c r="IB13">
        <v>0.38500000000000001</v>
      </c>
      <c r="IC13">
        <v>-4.5250000000000004</v>
      </c>
      <c r="ID13">
        <v>-7.0119999999999996</v>
      </c>
      <c r="IE13">
        <v>-0.22600000000000001</v>
      </c>
      <c r="IF13">
        <v>1.6339999999999999</v>
      </c>
      <c r="IG13">
        <v>1.849</v>
      </c>
      <c r="IH13">
        <v>-4.38</v>
      </c>
      <c r="II13">
        <v>-2.3809999999999998</v>
      </c>
      <c r="IJ13">
        <v>-0.79700000000000004</v>
      </c>
      <c r="IK13">
        <v>-4.2960000000000003</v>
      </c>
      <c r="IL13">
        <v>2.57</v>
      </c>
      <c r="IM13">
        <v>1.1080000000000001</v>
      </c>
      <c r="IN13">
        <v>1.1160000000000001</v>
      </c>
      <c r="IO13">
        <v>2.4E-2</v>
      </c>
      <c r="IP13">
        <v>-0.251</v>
      </c>
      <c r="IQ13">
        <v>-8.0909999999999993</v>
      </c>
      <c r="IR13">
        <v>-4.444</v>
      </c>
      <c r="IS13">
        <v>-1.7250000000000001</v>
      </c>
      <c r="IT13">
        <v>0.873</v>
      </c>
      <c r="IU13">
        <v>1.546</v>
      </c>
      <c r="IV13">
        <v>-0.19</v>
      </c>
      <c r="IW13">
        <v>-3.8969999999999998</v>
      </c>
      <c r="IX13">
        <v>-2.7069999999999999</v>
      </c>
      <c r="IY13">
        <v>0.66700000000000004</v>
      </c>
      <c r="IZ13">
        <v>-3.6560000000000001</v>
      </c>
      <c r="JA13">
        <v>-1.61</v>
      </c>
      <c r="JB13">
        <v>0.44800000000000001</v>
      </c>
      <c r="JC13">
        <v>-3.2189999999999999</v>
      </c>
      <c r="JD13">
        <v>0.50800000000000001</v>
      </c>
      <c r="JE13">
        <v>-6.274</v>
      </c>
      <c r="JF13">
        <v>-4.5640000000000001</v>
      </c>
      <c r="JG13">
        <v>2.411</v>
      </c>
      <c r="JH13">
        <v>-1.0489999999999999</v>
      </c>
      <c r="JI13">
        <v>-5.4080000000000004</v>
      </c>
      <c r="JJ13">
        <v>-0.75</v>
      </c>
      <c r="JK13">
        <v>-6.0919999999999996</v>
      </c>
      <c r="JL13">
        <v>0.36599999999999999</v>
      </c>
      <c r="JM13">
        <v>7.3999999999999996E-2</v>
      </c>
      <c r="JN13">
        <v>0.38300000000000001</v>
      </c>
      <c r="JO13">
        <v>0.85699999999999998</v>
      </c>
      <c r="JP13">
        <v>-7.1369999999999996</v>
      </c>
      <c r="JQ13">
        <v>0.20499999999999999</v>
      </c>
      <c r="JR13">
        <v>-0.25800000000000001</v>
      </c>
      <c r="JS13">
        <v>-2.3559999999999999</v>
      </c>
      <c r="JT13">
        <v>-3.899</v>
      </c>
      <c r="JU13">
        <v>-0.14199999999999999</v>
      </c>
      <c r="JV13">
        <v>0.88200000000000001</v>
      </c>
      <c r="JW13">
        <v>2.6920000000000002</v>
      </c>
      <c r="JX13">
        <v>-2.48</v>
      </c>
      <c r="JY13">
        <v>3.1320000000000001</v>
      </c>
      <c r="JZ13">
        <v>-7.6070000000000002</v>
      </c>
      <c r="KA13">
        <v>-3.073</v>
      </c>
      <c r="KB13">
        <v>-0.76300000000000001</v>
      </c>
      <c r="KC13">
        <v>-0.28399999999999997</v>
      </c>
      <c r="KD13">
        <v>1.1240000000000001</v>
      </c>
      <c r="KE13">
        <v>-7.5670000000000002</v>
      </c>
      <c r="KF13">
        <v>-11.321999999999999</v>
      </c>
      <c r="KG13">
        <v>1.534</v>
      </c>
      <c r="KH13">
        <v>2.4249999999999998</v>
      </c>
      <c r="KI13">
        <v>-1.329</v>
      </c>
      <c r="KJ13">
        <v>0.316</v>
      </c>
      <c r="KK13">
        <v>-0.90100000000000002</v>
      </c>
      <c r="KL13">
        <v>-5.2469999999999999</v>
      </c>
      <c r="KM13">
        <v>-5.298</v>
      </c>
      <c r="KN13">
        <v>-0.23300000000000001</v>
      </c>
      <c r="KO13">
        <v>-2.11</v>
      </c>
      <c r="KP13">
        <v>-6.056</v>
      </c>
      <c r="KQ13">
        <v>-9.5510000000000002</v>
      </c>
      <c r="KR13">
        <v>-9.6999999999999993</v>
      </c>
    </row>
    <row r="15" spans="1:304" s="60" customFormat="1" x14ac:dyDescent="0.25">
      <c r="A15" s="311"/>
      <c r="B15" s="311"/>
      <c r="C15" s="312" t="s">
        <v>339</v>
      </c>
      <c r="D15" s="312" t="s">
        <v>32</v>
      </c>
      <c r="E15" s="312" t="s">
        <v>33</v>
      </c>
      <c r="F15" s="312" t="s">
        <v>34</v>
      </c>
      <c r="G15" s="312" t="s">
        <v>37</v>
      </c>
      <c r="H15" s="312" t="s">
        <v>42</v>
      </c>
      <c r="I15" s="312" t="s">
        <v>45</v>
      </c>
      <c r="J15" s="312" t="s">
        <v>46</v>
      </c>
      <c r="K15" s="312" t="s">
        <v>47</v>
      </c>
      <c r="L15" s="312" t="s">
        <v>49</v>
      </c>
      <c r="M15" s="312" t="s">
        <v>51</v>
      </c>
      <c r="N15" s="312" t="s">
        <v>53</v>
      </c>
      <c r="O15" s="312" t="s">
        <v>54</v>
      </c>
      <c r="P15" s="312" t="s">
        <v>55</v>
      </c>
      <c r="Q15" s="312" t="s">
        <v>56</v>
      </c>
      <c r="R15" s="312" t="s">
        <v>57</v>
      </c>
      <c r="S15" s="312" t="s">
        <v>58</v>
      </c>
      <c r="T15" s="312" t="s">
        <v>60</v>
      </c>
      <c r="U15" s="312" t="s">
        <v>61</v>
      </c>
      <c r="V15" s="312" t="s">
        <v>59</v>
      </c>
      <c r="W15" s="312" t="s">
        <v>355</v>
      </c>
      <c r="X15" s="312" t="s">
        <v>64</v>
      </c>
      <c r="Y15" s="312" t="s">
        <v>65</v>
      </c>
      <c r="Z15" s="312" t="s">
        <v>63</v>
      </c>
      <c r="AA15" s="313" t="s">
        <v>358</v>
      </c>
      <c r="AB15" s="312" t="s">
        <v>52</v>
      </c>
      <c r="AC15" s="312" t="s">
        <v>67</v>
      </c>
      <c r="AD15" s="314" t="s">
        <v>1625</v>
      </c>
      <c r="AE15" s="312" t="s">
        <v>68</v>
      </c>
      <c r="AF15" s="312" t="s">
        <v>69</v>
      </c>
      <c r="AG15" s="312" t="s">
        <v>360</v>
      </c>
      <c r="AH15" s="312" t="s">
        <v>71</v>
      </c>
      <c r="AI15" s="312" t="s">
        <v>72</v>
      </c>
      <c r="AJ15" s="312" t="s">
        <v>74</v>
      </c>
      <c r="AK15" s="312" t="s">
        <v>75</v>
      </c>
      <c r="AL15" s="312" t="s">
        <v>76</v>
      </c>
      <c r="AM15" s="312" t="s">
        <v>77</v>
      </c>
      <c r="AN15" s="312" t="s">
        <v>78</v>
      </c>
      <c r="AO15" s="312" t="s">
        <v>79</v>
      </c>
      <c r="AP15" s="312" t="s">
        <v>80</v>
      </c>
      <c r="AQ15" s="312" t="s">
        <v>81</v>
      </c>
      <c r="AR15" s="312" t="s">
        <v>82</v>
      </c>
      <c r="AS15" s="312" t="s">
        <v>83</v>
      </c>
      <c r="AT15" s="312" t="s">
        <v>84</v>
      </c>
      <c r="AU15" s="312" t="s">
        <v>86</v>
      </c>
      <c r="AV15" s="312" t="s">
        <v>87</v>
      </c>
      <c r="AW15" s="312" t="s">
        <v>88</v>
      </c>
      <c r="AX15" s="312" t="s">
        <v>89</v>
      </c>
      <c r="AY15" s="312" t="s">
        <v>91</v>
      </c>
      <c r="AZ15" s="312" t="s">
        <v>92</v>
      </c>
      <c r="BA15" s="312" t="s">
        <v>85</v>
      </c>
      <c r="BB15" s="312" t="s">
        <v>370</v>
      </c>
      <c r="BC15" s="312" t="s">
        <v>94</v>
      </c>
      <c r="BD15" s="312" t="s">
        <v>97</v>
      </c>
      <c r="BE15" s="312" t="s">
        <v>98</v>
      </c>
      <c r="BF15" s="312" t="s">
        <v>101</v>
      </c>
      <c r="BG15" s="312" t="s">
        <v>93</v>
      </c>
      <c r="BH15" s="312" t="s">
        <v>95</v>
      </c>
      <c r="BI15" s="312" t="s">
        <v>96</v>
      </c>
      <c r="BJ15" s="312" t="s">
        <v>99</v>
      </c>
      <c r="BK15" s="312" t="s">
        <v>100</v>
      </c>
      <c r="BL15" s="312" t="s">
        <v>102</v>
      </c>
      <c r="BM15" s="312" t="s">
        <v>103</v>
      </c>
      <c r="BN15" s="312" t="s">
        <v>105</v>
      </c>
      <c r="BO15" s="312" t="s">
        <v>106</v>
      </c>
      <c r="BP15" s="312" t="s">
        <v>107</v>
      </c>
      <c r="BQ15" s="312" t="s">
        <v>109</v>
      </c>
      <c r="BR15" s="312" t="s">
        <v>108</v>
      </c>
      <c r="BS15" s="312" t="s">
        <v>110</v>
      </c>
      <c r="BT15" s="312" t="s">
        <v>111</v>
      </c>
      <c r="BU15" s="312" t="s">
        <v>116</v>
      </c>
      <c r="BV15" s="312" t="s">
        <v>115</v>
      </c>
      <c r="BW15" s="312" t="s">
        <v>117</v>
      </c>
      <c r="BX15" s="312" t="s">
        <v>118</v>
      </c>
      <c r="BY15" s="312" t="s">
        <v>119</v>
      </c>
      <c r="BZ15" s="312" t="s">
        <v>120</v>
      </c>
      <c r="CA15" s="312" t="s">
        <v>121</v>
      </c>
      <c r="CB15" s="312" t="s">
        <v>122</v>
      </c>
      <c r="CC15" s="312" t="s">
        <v>127</v>
      </c>
      <c r="CD15" s="312" t="s">
        <v>128</v>
      </c>
      <c r="CE15" s="312" t="s">
        <v>129</v>
      </c>
      <c r="CF15" s="312" t="s">
        <v>130</v>
      </c>
      <c r="CG15" s="312" t="s">
        <v>131</v>
      </c>
      <c r="CH15" s="312" t="s">
        <v>104</v>
      </c>
      <c r="CI15" s="313" t="s">
        <v>378</v>
      </c>
      <c r="CJ15" s="312" t="s">
        <v>113</v>
      </c>
      <c r="CK15" s="312" t="s">
        <v>114</v>
      </c>
      <c r="CL15" s="312" t="s">
        <v>123</v>
      </c>
      <c r="CM15" s="313" t="s">
        <v>380</v>
      </c>
      <c r="CN15" s="312" t="s">
        <v>381</v>
      </c>
      <c r="CO15" s="312" t="s">
        <v>125</v>
      </c>
      <c r="CP15" s="312" t="s">
        <v>133</v>
      </c>
      <c r="CQ15" s="312" t="s">
        <v>135</v>
      </c>
      <c r="CR15" s="312" t="s">
        <v>383</v>
      </c>
      <c r="CS15" s="313" t="s">
        <v>384</v>
      </c>
      <c r="CT15" s="312" t="s">
        <v>136</v>
      </c>
      <c r="CU15" s="312" t="s">
        <v>137</v>
      </c>
      <c r="CV15" s="312" t="s">
        <v>138</v>
      </c>
      <c r="CW15" s="312" t="s">
        <v>139</v>
      </c>
      <c r="CX15" s="312" t="s">
        <v>140</v>
      </c>
      <c r="CY15" s="312" t="s">
        <v>141</v>
      </c>
      <c r="CZ15" s="312" t="s">
        <v>142</v>
      </c>
      <c r="DA15" s="312" t="s">
        <v>143</v>
      </c>
      <c r="DB15" s="312" t="s">
        <v>144</v>
      </c>
      <c r="DC15" s="312" t="s">
        <v>146</v>
      </c>
      <c r="DD15" s="312" t="s">
        <v>147</v>
      </c>
      <c r="DE15" s="312" t="s">
        <v>148</v>
      </c>
      <c r="DF15" s="312" t="s">
        <v>149</v>
      </c>
      <c r="DG15" s="312" t="s">
        <v>150</v>
      </c>
      <c r="DH15" s="312" t="s">
        <v>151</v>
      </c>
      <c r="DI15" s="312" t="s">
        <v>153</v>
      </c>
      <c r="DJ15" s="312" t="s">
        <v>154</v>
      </c>
      <c r="DK15" s="312" t="s">
        <v>155</v>
      </c>
      <c r="DL15" s="312" t="s">
        <v>156</v>
      </c>
      <c r="DM15" s="312" t="s">
        <v>157</v>
      </c>
      <c r="DN15" s="312" t="s">
        <v>159</v>
      </c>
      <c r="DO15" s="312" t="s">
        <v>160</v>
      </c>
      <c r="DP15" s="313" t="s">
        <v>388</v>
      </c>
      <c r="DQ15" s="312" t="s">
        <v>161</v>
      </c>
      <c r="DR15" s="313" t="s">
        <v>389</v>
      </c>
      <c r="DS15" s="312" t="s">
        <v>152</v>
      </c>
      <c r="DT15" s="312" t="s">
        <v>162</v>
      </c>
      <c r="DU15" s="312" t="s">
        <v>163</v>
      </c>
      <c r="DV15" s="313" t="s">
        <v>391</v>
      </c>
      <c r="DW15" s="312" t="s">
        <v>165</v>
      </c>
      <c r="DX15" s="312" t="s">
        <v>166</v>
      </c>
      <c r="DY15" s="312" t="s">
        <v>167</v>
      </c>
      <c r="DZ15" s="312" t="s">
        <v>168</v>
      </c>
      <c r="EA15" s="312" t="s">
        <v>169</v>
      </c>
      <c r="EB15" s="312" t="s">
        <v>170</v>
      </c>
      <c r="EC15" s="312" t="s">
        <v>171</v>
      </c>
      <c r="ED15" s="312" t="s">
        <v>172</v>
      </c>
      <c r="EE15" s="312" t="s">
        <v>173</v>
      </c>
      <c r="EF15" s="312" t="s">
        <v>174</v>
      </c>
      <c r="EG15" s="312" t="s">
        <v>175</v>
      </c>
      <c r="EH15" s="312" t="s">
        <v>176</v>
      </c>
      <c r="EI15" s="312" t="s">
        <v>177</v>
      </c>
      <c r="EJ15" s="312" t="s">
        <v>178</v>
      </c>
      <c r="EK15" s="312" t="s">
        <v>179</v>
      </c>
      <c r="EL15" s="312" t="s">
        <v>180</v>
      </c>
      <c r="EM15" s="312" t="s">
        <v>181</v>
      </c>
      <c r="EN15" s="312" t="s">
        <v>395</v>
      </c>
      <c r="EO15" s="312" t="s">
        <v>184</v>
      </c>
      <c r="EP15" s="312" t="s">
        <v>185</v>
      </c>
      <c r="EQ15" s="313" t="s">
        <v>400</v>
      </c>
      <c r="ER15" s="312" t="s">
        <v>186</v>
      </c>
      <c r="ES15" s="312" t="s">
        <v>187</v>
      </c>
      <c r="ET15" s="312" t="s">
        <v>189</v>
      </c>
      <c r="EU15" s="312" t="s">
        <v>190</v>
      </c>
      <c r="EV15" s="312" t="s">
        <v>193</v>
      </c>
      <c r="EW15" s="312" t="s">
        <v>195</v>
      </c>
      <c r="EX15" s="312" t="s">
        <v>196</v>
      </c>
      <c r="EY15" s="312" t="s">
        <v>197</v>
      </c>
      <c r="EZ15" s="312" t="s">
        <v>188</v>
      </c>
      <c r="FA15" s="312" t="s">
        <v>191</v>
      </c>
      <c r="FB15" s="312" t="s">
        <v>192</v>
      </c>
      <c r="FC15" s="312" t="s">
        <v>194</v>
      </c>
      <c r="FD15" s="312" t="s">
        <v>198</v>
      </c>
      <c r="FE15" s="312" t="s">
        <v>200</v>
      </c>
      <c r="FF15" s="312" t="s">
        <v>201</v>
      </c>
      <c r="FG15" s="312" t="s">
        <v>202</v>
      </c>
      <c r="FH15" s="312" t="s">
        <v>203</v>
      </c>
      <c r="FI15" s="312" t="s">
        <v>204</v>
      </c>
      <c r="FJ15" s="312" t="s">
        <v>205</v>
      </c>
      <c r="FK15" s="312" t="s">
        <v>404</v>
      </c>
      <c r="FL15" s="312" t="s">
        <v>207</v>
      </c>
      <c r="FM15" s="312" t="s">
        <v>209</v>
      </c>
      <c r="FN15" s="312" t="s">
        <v>208</v>
      </c>
      <c r="FO15" s="312" t="s">
        <v>210</v>
      </c>
      <c r="FP15" s="313" t="s">
        <v>406</v>
      </c>
      <c r="FQ15" s="312" t="s">
        <v>211</v>
      </c>
      <c r="FR15" s="312" t="s">
        <v>214</v>
      </c>
      <c r="FS15" s="312" t="s">
        <v>218</v>
      </c>
      <c r="FT15" s="312" t="s">
        <v>219</v>
      </c>
      <c r="FU15" s="312" t="s">
        <v>220</v>
      </c>
      <c r="FV15" s="312" t="s">
        <v>221</v>
      </c>
      <c r="FW15" s="313" t="s">
        <v>408</v>
      </c>
      <c r="FX15" s="312" t="s">
        <v>229</v>
      </c>
      <c r="FY15" s="312" t="s">
        <v>230</v>
      </c>
      <c r="FZ15" s="313" t="s">
        <v>410</v>
      </c>
      <c r="GA15" s="312" t="s">
        <v>233</v>
      </c>
      <c r="GB15" s="312" t="s">
        <v>234</v>
      </c>
      <c r="GC15" s="312" t="s">
        <v>235</v>
      </c>
      <c r="GD15" s="313" t="s">
        <v>411</v>
      </c>
      <c r="GE15" s="312" t="s">
        <v>237</v>
      </c>
      <c r="GF15" s="312" t="s">
        <v>238</v>
      </c>
      <c r="GG15" s="312" t="s">
        <v>240</v>
      </c>
      <c r="GH15" s="312" t="s">
        <v>245</v>
      </c>
      <c r="GI15" s="312" t="s">
        <v>246</v>
      </c>
      <c r="GJ15" s="312" t="s">
        <v>247</v>
      </c>
      <c r="GK15" s="312" t="s">
        <v>248</v>
      </c>
      <c r="GL15" s="312" t="s">
        <v>249</v>
      </c>
      <c r="GM15" s="312" t="s">
        <v>250</v>
      </c>
      <c r="GN15" s="312" t="s">
        <v>252</v>
      </c>
      <c r="GO15" s="312" t="s">
        <v>253</v>
      </c>
      <c r="GP15" s="312" t="s">
        <v>251</v>
      </c>
      <c r="GQ15" s="312" t="s">
        <v>254</v>
      </c>
      <c r="GR15" s="312" t="s">
        <v>258</v>
      </c>
      <c r="GS15" s="312" t="s">
        <v>259</v>
      </c>
      <c r="GT15" s="312" t="s">
        <v>260</v>
      </c>
      <c r="GU15" s="312" t="s">
        <v>262</v>
      </c>
      <c r="GV15" s="312" t="s">
        <v>263</v>
      </c>
      <c r="GW15" s="312" t="s">
        <v>264</v>
      </c>
      <c r="GX15" s="312" t="s">
        <v>265</v>
      </c>
      <c r="GY15" s="312" t="s">
        <v>267</v>
      </c>
      <c r="GZ15" s="312" t="s">
        <v>266</v>
      </c>
      <c r="HA15" s="312" t="s">
        <v>268</v>
      </c>
      <c r="HB15" s="312" t="s">
        <v>269</v>
      </c>
      <c r="HC15" s="312" t="s">
        <v>270</v>
      </c>
      <c r="HD15" s="312" t="s">
        <v>271</v>
      </c>
      <c r="HE15" s="312" t="s">
        <v>272</v>
      </c>
      <c r="HF15" s="312" t="s">
        <v>273</v>
      </c>
      <c r="HG15" s="312" t="s">
        <v>274</v>
      </c>
      <c r="HH15" s="312" t="s">
        <v>275</v>
      </c>
      <c r="HI15" s="312" t="s">
        <v>276</v>
      </c>
      <c r="HJ15" s="312" t="s">
        <v>277</v>
      </c>
      <c r="HK15" s="312" t="s">
        <v>278</v>
      </c>
      <c r="HL15" s="312" t="s">
        <v>279</v>
      </c>
      <c r="HM15" s="312" t="s">
        <v>280</v>
      </c>
      <c r="HN15" s="312" t="s">
        <v>281</v>
      </c>
      <c r="HO15" s="312" t="s">
        <v>282</v>
      </c>
      <c r="HP15" s="312" t="s">
        <v>242</v>
      </c>
      <c r="HQ15" s="312" t="s">
        <v>236</v>
      </c>
      <c r="HR15" s="313" t="s">
        <v>1216</v>
      </c>
      <c r="HS15" s="312" t="s">
        <v>241</v>
      </c>
      <c r="HT15" s="312" t="s">
        <v>243</v>
      </c>
      <c r="HU15" s="312" t="s">
        <v>244</v>
      </c>
      <c r="HV15" s="312" t="s">
        <v>255</v>
      </c>
      <c r="HW15" s="312" t="s">
        <v>256</v>
      </c>
      <c r="HX15" s="312" t="s">
        <v>257</v>
      </c>
      <c r="HY15" s="312" t="s">
        <v>261</v>
      </c>
      <c r="HZ15" s="312" t="s">
        <v>285</v>
      </c>
      <c r="IA15" s="312" t="s">
        <v>287</v>
      </c>
      <c r="IB15" s="312" t="s">
        <v>288</v>
      </c>
      <c r="IC15" s="312" t="s">
        <v>289</v>
      </c>
      <c r="ID15" s="312" t="s">
        <v>290</v>
      </c>
      <c r="IE15" s="312" t="s">
        <v>291</v>
      </c>
      <c r="IF15" s="312" t="s">
        <v>292</v>
      </c>
      <c r="IG15" s="312" t="s">
        <v>293</v>
      </c>
      <c r="IH15" s="312" t="s">
        <v>296</v>
      </c>
      <c r="II15" s="312" t="s">
        <v>295</v>
      </c>
      <c r="IJ15" s="312" t="s">
        <v>298</v>
      </c>
      <c r="IK15" s="312" t="s">
        <v>297</v>
      </c>
      <c r="IL15" s="312" t="s">
        <v>299</v>
      </c>
      <c r="IM15" s="312" t="s">
        <v>300</v>
      </c>
      <c r="IN15" s="312" t="s">
        <v>301</v>
      </c>
      <c r="IO15" s="312" t="s">
        <v>302</v>
      </c>
      <c r="IP15" s="312" t="s">
        <v>283</v>
      </c>
      <c r="IQ15" s="313" t="s">
        <v>419</v>
      </c>
      <c r="IR15" s="312" t="s">
        <v>286</v>
      </c>
      <c r="IS15" s="312" t="s">
        <v>294</v>
      </c>
      <c r="IT15" s="312" t="s">
        <v>303</v>
      </c>
      <c r="IU15" s="312" t="s">
        <v>304</v>
      </c>
      <c r="IV15" s="312" t="s">
        <v>305</v>
      </c>
      <c r="IW15" s="312" t="s">
        <v>306</v>
      </c>
      <c r="IX15" s="312" t="s">
        <v>307</v>
      </c>
      <c r="IY15" s="312" t="s">
        <v>308</v>
      </c>
      <c r="IZ15" s="312" t="s">
        <v>309</v>
      </c>
      <c r="JA15" s="312" t="s">
        <v>310</v>
      </c>
      <c r="JB15" s="312" t="s">
        <v>311</v>
      </c>
      <c r="JC15" s="312" t="s">
        <v>312</v>
      </c>
      <c r="JD15" s="312" t="s">
        <v>313</v>
      </c>
      <c r="JE15" s="312" t="s">
        <v>316</v>
      </c>
      <c r="JF15" s="312" t="s">
        <v>317</v>
      </c>
      <c r="JG15" s="312" t="s">
        <v>318</v>
      </c>
      <c r="JH15" s="312" t="s">
        <v>325</v>
      </c>
      <c r="JI15" s="312" t="s">
        <v>326</v>
      </c>
      <c r="JJ15" s="312" t="s">
        <v>327</v>
      </c>
      <c r="JK15" s="312" t="s">
        <v>328</v>
      </c>
      <c r="JL15" s="312" t="s">
        <v>329</v>
      </c>
      <c r="JM15" s="312" t="s">
        <v>330</v>
      </c>
      <c r="JN15" s="312" t="s">
        <v>319</v>
      </c>
      <c r="JO15" s="312" t="s">
        <v>314</v>
      </c>
      <c r="JP15" s="313" t="s">
        <v>423</v>
      </c>
      <c r="JQ15" s="312" t="s">
        <v>320</v>
      </c>
      <c r="JR15" s="312" t="s">
        <v>321</v>
      </c>
      <c r="JS15" s="312" t="s">
        <v>323</v>
      </c>
      <c r="JT15" s="312" t="s">
        <v>322</v>
      </c>
      <c r="JU15" s="312" t="s">
        <v>324</v>
      </c>
      <c r="JV15" s="312" t="s">
        <v>331</v>
      </c>
      <c r="JW15" s="312" t="s">
        <v>332</v>
      </c>
      <c r="JX15" s="312" t="s">
        <v>425</v>
      </c>
      <c r="JY15" s="312" t="s">
        <v>41</v>
      </c>
      <c r="JZ15" s="312" t="s">
        <v>43</v>
      </c>
      <c r="KA15" s="312" t="s">
        <v>426</v>
      </c>
      <c r="KB15" s="312" t="s">
        <v>48</v>
      </c>
      <c r="KC15" s="312" t="s">
        <v>50</v>
      </c>
      <c r="KD15" s="312" t="s">
        <v>35</v>
      </c>
      <c r="KE15" s="312" t="s">
        <v>36</v>
      </c>
      <c r="KF15" s="312" t="s">
        <v>38</v>
      </c>
      <c r="KG15" s="312" t="s">
        <v>40</v>
      </c>
      <c r="KH15" s="312" t="s">
        <v>212</v>
      </c>
      <c r="KI15" s="312" t="s">
        <v>213</v>
      </c>
      <c r="KJ15" s="312" t="s">
        <v>215</v>
      </c>
      <c r="KK15" s="312" t="s">
        <v>216</v>
      </c>
      <c r="KL15" s="313" t="s">
        <v>430</v>
      </c>
      <c r="KM15" s="312" t="s">
        <v>223</v>
      </c>
      <c r="KN15" s="312" t="s">
        <v>222</v>
      </c>
      <c r="KO15" s="313" t="s">
        <v>433</v>
      </c>
      <c r="KP15" s="312" t="s">
        <v>225</v>
      </c>
      <c r="KQ15" s="312" t="s">
        <v>226</v>
      </c>
      <c r="KR15" s="312" t="s">
        <v>227</v>
      </c>
    </row>
    <row r="16" spans="1:304" x14ac:dyDescent="0.25">
      <c r="A16">
        <v>2015</v>
      </c>
      <c r="B16">
        <v>1</v>
      </c>
      <c r="C16">
        <v>-13.013</v>
      </c>
      <c r="D16">
        <v>0.42399999999999999</v>
      </c>
      <c r="E16">
        <v>1.911</v>
      </c>
      <c r="F16">
        <v>1.357</v>
      </c>
      <c r="G16">
        <v>0.754</v>
      </c>
      <c r="H16">
        <v>0.127</v>
      </c>
      <c r="I16">
        <v>-11.957000000000001</v>
      </c>
      <c r="J16">
        <v>-10.038</v>
      </c>
      <c r="K16">
        <v>-0.439</v>
      </c>
      <c r="L16">
        <v>0.20499999999999999</v>
      </c>
      <c r="M16">
        <v>-1.36</v>
      </c>
      <c r="N16">
        <v>0.45300000000000001</v>
      </c>
      <c r="O16">
        <v>-5.931</v>
      </c>
      <c r="P16">
        <v>2.484</v>
      </c>
      <c r="Q16">
        <v>-10.375999999999999</v>
      </c>
      <c r="R16">
        <v>1.133</v>
      </c>
      <c r="S16">
        <v>-3.22</v>
      </c>
      <c r="T16">
        <v>1.8979999999999999</v>
      </c>
      <c r="U16">
        <v>-1.9390000000000001</v>
      </c>
      <c r="V16">
        <v>0.67700000000000005</v>
      </c>
      <c r="W16">
        <v>0.5</v>
      </c>
      <c r="X16">
        <v>1.8380000000000001</v>
      </c>
      <c r="Y16">
        <v>2.3039999999999998</v>
      </c>
      <c r="Z16">
        <v>-5.9</v>
      </c>
      <c r="AA16">
        <v>3.0070000000000001</v>
      </c>
      <c r="AB16">
        <v>2.2959999999999998</v>
      </c>
      <c r="AC16">
        <v>-1.585</v>
      </c>
      <c r="AD16">
        <v>0.54200000000000004</v>
      </c>
      <c r="AE16">
        <v>0.88300000000000001</v>
      </c>
      <c r="AF16">
        <v>-0.36799999999999999</v>
      </c>
      <c r="AG16">
        <v>-4.1050000000000004</v>
      </c>
      <c r="AH16">
        <v>-8.0609999999999999</v>
      </c>
      <c r="AI16">
        <v>-3.3730000000000002</v>
      </c>
      <c r="AJ16">
        <v>0.06</v>
      </c>
      <c r="AK16">
        <v>0.995</v>
      </c>
      <c r="AL16">
        <v>-0.161</v>
      </c>
      <c r="AM16">
        <v>0.125</v>
      </c>
      <c r="AN16">
        <v>2.42</v>
      </c>
      <c r="AO16">
        <v>1.1819999999999999</v>
      </c>
      <c r="AP16">
        <v>-1.3839999999999999</v>
      </c>
      <c r="AQ16">
        <v>2.605</v>
      </c>
      <c r="AR16">
        <v>0.41299999999999998</v>
      </c>
      <c r="AS16">
        <v>3.6019999999999999</v>
      </c>
      <c r="AT16">
        <v>-2.16</v>
      </c>
      <c r="AU16">
        <v>-1.274</v>
      </c>
      <c r="AV16">
        <v>-0.65300000000000002</v>
      </c>
      <c r="AW16">
        <v>0.48299999999999998</v>
      </c>
      <c r="AX16">
        <v>0.254</v>
      </c>
      <c r="AY16">
        <v>-0.33500000000000002</v>
      </c>
      <c r="AZ16">
        <v>-6.7560000000000002</v>
      </c>
      <c r="BA16">
        <v>1.1020000000000001</v>
      </c>
      <c r="BB16">
        <v>-6.6470000000000002</v>
      </c>
      <c r="BC16">
        <v>-2.3220000000000001</v>
      </c>
      <c r="BD16">
        <v>0.66500000000000004</v>
      </c>
      <c r="BE16">
        <v>0.224</v>
      </c>
      <c r="BF16">
        <v>1.2310000000000001</v>
      </c>
      <c r="BG16">
        <v>-8.3610000000000007</v>
      </c>
      <c r="BH16">
        <v>-13.225</v>
      </c>
      <c r="BI16">
        <v>-1.0149999999999999</v>
      </c>
      <c r="BJ16">
        <v>2.399</v>
      </c>
      <c r="BK16">
        <v>1.143</v>
      </c>
      <c r="BL16">
        <v>0.20899999999999999</v>
      </c>
      <c r="BM16">
        <v>-1.901</v>
      </c>
      <c r="BN16">
        <v>0.245</v>
      </c>
      <c r="BO16">
        <v>-0.33600000000000002</v>
      </c>
      <c r="BP16">
        <v>2.4470000000000001</v>
      </c>
      <c r="BQ16">
        <v>-5.8609999999999998</v>
      </c>
      <c r="BR16">
        <v>0.57599999999999996</v>
      </c>
      <c r="BS16">
        <v>0.69</v>
      </c>
      <c r="BT16">
        <v>-8.734</v>
      </c>
      <c r="BU16">
        <v>-6.6669999999999998</v>
      </c>
      <c r="BV16">
        <v>-1.645</v>
      </c>
      <c r="BW16">
        <v>2.7189999999999999</v>
      </c>
      <c r="BX16">
        <v>-9.2360000000000007</v>
      </c>
      <c r="BY16">
        <v>1.9</v>
      </c>
      <c r="BZ16">
        <v>0.86199999999999999</v>
      </c>
      <c r="CA16">
        <v>1.363</v>
      </c>
      <c r="CB16">
        <v>-2.2029999999999998</v>
      </c>
      <c r="CC16">
        <v>0.58299999999999996</v>
      </c>
      <c r="CD16">
        <v>0.57699999999999996</v>
      </c>
      <c r="CE16">
        <v>-2.7069999999999999</v>
      </c>
      <c r="CF16">
        <v>0.69499999999999995</v>
      </c>
      <c r="CG16">
        <v>1.377</v>
      </c>
      <c r="CH16">
        <v>-1.377</v>
      </c>
      <c r="CI16">
        <v>-2.9380000000000002</v>
      </c>
      <c r="CJ16">
        <v>1.992</v>
      </c>
      <c r="CK16">
        <v>1.764</v>
      </c>
      <c r="CL16">
        <v>2.8580000000000001</v>
      </c>
      <c r="CM16">
        <v>0.94899999999999995</v>
      </c>
      <c r="CN16">
        <v>2.02</v>
      </c>
      <c r="CO16">
        <v>1.9710000000000001</v>
      </c>
      <c r="CP16">
        <v>-13.89</v>
      </c>
      <c r="CQ16">
        <v>-6.9349999999999996</v>
      </c>
      <c r="CR16">
        <v>0.75900000000000001</v>
      </c>
      <c r="CS16">
        <v>0.45900000000000002</v>
      </c>
      <c r="CT16">
        <v>-9.7739999999999991</v>
      </c>
      <c r="CU16">
        <v>1.923</v>
      </c>
      <c r="CV16">
        <v>-15.244999999999999</v>
      </c>
      <c r="CW16">
        <v>1.427</v>
      </c>
      <c r="CX16">
        <v>2.2240000000000002</v>
      </c>
      <c r="CY16">
        <v>-0.77700000000000002</v>
      </c>
      <c r="CZ16">
        <v>2.39</v>
      </c>
      <c r="DA16">
        <v>0.223</v>
      </c>
      <c r="DB16">
        <v>0.38500000000000001</v>
      </c>
      <c r="DC16">
        <v>-0.318</v>
      </c>
      <c r="DD16">
        <v>1.415</v>
      </c>
      <c r="DE16">
        <v>-13.821999999999999</v>
      </c>
      <c r="DF16">
        <v>0.35599999999999998</v>
      </c>
      <c r="DG16">
        <v>2.1709999999999998</v>
      </c>
      <c r="DH16">
        <v>0.11799999999999999</v>
      </c>
      <c r="DI16">
        <v>-1.853</v>
      </c>
      <c r="DJ16">
        <v>-4.609</v>
      </c>
      <c r="DK16">
        <v>2.2919999999999998</v>
      </c>
      <c r="DL16">
        <v>9.9000000000000005E-2</v>
      </c>
      <c r="DM16">
        <v>0.32</v>
      </c>
      <c r="DN16">
        <v>2.3370000000000002</v>
      </c>
      <c r="DO16">
        <v>8.5000000000000006E-2</v>
      </c>
      <c r="DP16">
        <v>2.2770000000000001</v>
      </c>
      <c r="DQ16">
        <v>-14.276999999999999</v>
      </c>
      <c r="DR16">
        <v>2.8290000000000002</v>
      </c>
      <c r="DS16">
        <v>-0.112</v>
      </c>
      <c r="DT16">
        <v>2.2519999999999998</v>
      </c>
      <c r="DU16">
        <v>2.911</v>
      </c>
      <c r="DV16">
        <v>0.22800000000000001</v>
      </c>
      <c r="DW16">
        <v>0.26300000000000001</v>
      </c>
      <c r="DX16">
        <v>-2.2480000000000002</v>
      </c>
      <c r="DY16">
        <v>1.4790000000000001</v>
      </c>
      <c r="DZ16">
        <v>0.63</v>
      </c>
      <c r="EA16">
        <v>0.93700000000000006</v>
      </c>
      <c r="EB16">
        <v>1.2849999999999999</v>
      </c>
      <c r="EC16">
        <v>1.3280000000000001</v>
      </c>
      <c r="ED16">
        <v>-0.77700000000000002</v>
      </c>
      <c r="EE16">
        <v>0.86499999999999999</v>
      </c>
      <c r="EF16">
        <v>1.2230000000000001</v>
      </c>
      <c r="EG16">
        <v>-4.5839999999999996</v>
      </c>
      <c r="EH16">
        <v>3.032</v>
      </c>
      <c r="EI16">
        <v>-1.69</v>
      </c>
      <c r="EJ16">
        <v>-8.7010000000000005</v>
      </c>
      <c r="EK16">
        <v>2.7949999999999999</v>
      </c>
      <c r="EL16">
        <v>-8.1579999999999995</v>
      </c>
      <c r="EM16">
        <v>2.7690000000000001</v>
      </c>
      <c r="EN16">
        <v>0.31900000000000001</v>
      </c>
      <c r="EO16">
        <v>3.133</v>
      </c>
      <c r="EP16">
        <v>-3.6589999999999998</v>
      </c>
      <c r="EQ16">
        <v>-9.4469999999999992</v>
      </c>
      <c r="ER16">
        <v>1.5</v>
      </c>
      <c r="ES16">
        <v>1.609</v>
      </c>
      <c r="ET16">
        <v>1.2769999999999999</v>
      </c>
      <c r="EU16">
        <v>0.80400000000000005</v>
      </c>
      <c r="EV16">
        <v>-2.597</v>
      </c>
      <c r="EW16">
        <v>0.79100000000000004</v>
      </c>
      <c r="EX16">
        <v>1.665</v>
      </c>
      <c r="EY16">
        <v>-1.5920000000000001</v>
      </c>
      <c r="EZ16">
        <v>-0.104</v>
      </c>
      <c r="FA16">
        <v>2.2370000000000001</v>
      </c>
      <c r="FB16">
        <v>1.484</v>
      </c>
      <c r="FC16">
        <v>2.0870000000000002</v>
      </c>
      <c r="FD16">
        <v>1.024</v>
      </c>
      <c r="FE16">
        <v>-0.96799999999999997</v>
      </c>
      <c r="FF16">
        <v>-1.7809999999999999</v>
      </c>
      <c r="FG16">
        <v>-3.6040000000000001</v>
      </c>
      <c r="FH16">
        <v>-4.1920000000000002</v>
      </c>
      <c r="FI16">
        <v>0.57299999999999995</v>
      </c>
      <c r="FJ16">
        <v>0.41</v>
      </c>
      <c r="FK16">
        <v>-8.2880000000000003</v>
      </c>
      <c r="FL16">
        <v>1.135</v>
      </c>
      <c r="FM16">
        <v>0.33300000000000002</v>
      </c>
      <c r="FN16">
        <v>0.50900000000000001</v>
      </c>
      <c r="FO16">
        <v>1.357</v>
      </c>
      <c r="FP16">
        <v>-0.30499999999999999</v>
      </c>
      <c r="FQ16">
        <v>-2.1779999999999999</v>
      </c>
      <c r="FR16">
        <v>1.542</v>
      </c>
      <c r="FS16">
        <v>-3.1659999999999999</v>
      </c>
      <c r="FT16">
        <v>2.1960000000000002</v>
      </c>
      <c r="FU16">
        <v>1.417</v>
      </c>
      <c r="FV16">
        <v>1.1619999999999999</v>
      </c>
      <c r="FW16">
        <v>0.81100000000000005</v>
      </c>
      <c r="FX16">
        <v>-12.855</v>
      </c>
      <c r="FY16">
        <v>1.978</v>
      </c>
      <c r="FZ16">
        <v>-8.3450000000000006</v>
      </c>
      <c r="GA16">
        <v>-10.602</v>
      </c>
      <c r="GB16">
        <v>-4.6980000000000004</v>
      </c>
      <c r="GC16">
        <v>2.379</v>
      </c>
      <c r="GD16">
        <v>-2.7429999999999999</v>
      </c>
      <c r="GE16">
        <v>-0.88700000000000001</v>
      </c>
      <c r="GF16">
        <v>0.60699999999999998</v>
      </c>
      <c r="GG16">
        <v>-1.401</v>
      </c>
      <c r="GH16">
        <v>0.17699999999999999</v>
      </c>
      <c r="GI16">
        <v>3.02</v>
      </c>
      <c r="GJ16">
        <v>2.0699999999999998</v>
      </c>
      <c r="GK16">
        <v>0.85299999999999998</v>
      </c>
      <c r="GL16">
        <v>-6.5759999999999996</v>
      </c>
      <c r="GM16">
        <v>-1.33</v>
      </c>
      <c r="GN16">
        <v>2.44</v>
      </c>
      <c r="GO16">
        <v>-0.69199999999999995</v>
      </c>
      <c r="GP16">
        <v>0.496</v>
      </c>
      <c r="GQ16">
        <v>-1.5229999999999999</v>
      </c>
      <c r="GR16">
        <v>-6.1109999999999998</v>
      </c>
      <c r="GS16">
        <v>0.64400000000000002</v>
      </c>
      <c r="GT16">
        <v>0.92</v>
      </c>
      <c r="GU16">
        <v>-10.991</v>
      </c>
      <c r="GV16">
        <v>3.2050000000000001</v>
      </c>
      <c r="GW16">
        <v>2.7559999999999998</v>
      </c>
      <c r="GX16">
        <v>2.036</v>
      </c>
      <c r="GY16">
        <v>0.80500000000000005</v>
      </c>
      <c r="GZ16">
        <v>0.89</v>
      </c>
      <c r="HA16">
        <v>-0.81</v>
      </c>
      <c r="HB16">
        <v>-4.5060000000000002</v>
      </c>
      <c r="HC16">
        <v>-9.9600000000000009</v>
      </c>
      <c r="HD16">
        <v>0.113</v>
      </c>
      <c r="HE16">
        <v>1.982</v>
      </c>
      <c r="HF16">
        <v>-7.2809999999999997</v>
      </c>
      <c r="HG16">
        <v>0.86499999999999999</v>
      </c>
      <c r="HH16">
        <v>-3.339</v>
      </c>
      <c r="HI16">
        <v>-1.244</v>
      </c>
      <c r="HJ16">
        <v>-0.622</v>
      </c>
      <c r="HK16">
        <v>2.48</v>
      </c>
      <c r="HL16">
        <v>2.63</v>
      </c>
      <c r="HM16">
        <v>-5.931</v>
      </c>
      <c r="HN16">
        <v>0.70299999999999996</v>
      </c>
      <c r="HO16">
        <v>-5.8040000000000003</v>
      </c>
      <c r="HP16">
        <v>1.41</v>
      </c>
      <c r="HQ16">
        <v>0.58099999999999996</v>
      </c>
      <c r="HR16">
        <v>-4.9790000000000001</v>
      </c>
      <c r="HS16">
        <v>-6.6159999999999997</v>
      </c>
      <c r="HT16">
        <v>-1.677</v>
      </c>
      <c r="HU16">
        <v>0.13300000000000001</v>
      </c>
      <c r="HV16">
        <v>-1.7529999999999999</v>
      </c>
      <c r="HW16">
        <v>0.68400000000000005</v>
      </c>
      <c r="HX16">
        <v>0.503</v>
      </c>
      <c r="HY16">
        <v>2.5310000000000001</v>
      </c>
      <c r="HZ16">
        <v>1.8220000000000001</v>
      </c>
      <c r="IA16">
        <v>1.026</v>
      </c>
      <c r="IB16">
        <v>0.39900000000000002</v>
      </c>
      <c r="IC16">
        <v>-0.93799999999999994</v>
      </c>
      <c r="ID16">
        <v>-4.5359999999999996</v>
      </c>
      <c r="IE16">
        <v>1.028</v>
      </c>
      <c r="IF16">
        <v>3.0129999999999999</v>
      </c>
      <c r="IG16">
        <v>2.2410000000000001</v>
      </c>
      <c r="IH16">
        <v>-2.1389999999999998</v>
      </c>
      <c r="II16">
        <v>1.9370000000000001</v>
      </c>
      <c r="IJ16">
        <v>0.505</v>
      </c>
      <c r="IK16">
        <v>0.19700000000000001</v>
      </c>
      <c r="IL16">
        <v>3.2669999999999999</v>
      </c>
      <c r="IM16">
        <v>1.3140000000000001</v>
      </c>
      <c r="IN16">
        <v>0.73299999999999998</v>
      </c>
      <c r="IO16">
        <v>1.0469999999999999</v>
      </c>
      <c r="IP16">
        <v>0.70599999999999996</v>
      </c>
      <c r="IQ16">
        <v>-6.5090000000000003</v>
      </c>
      <c r="IR16">
        <v>-0.98599999999999999</v>
      </c>
      <c r="IS16">
        <v>0.86599999999999999</v>
      </c>
      <c r="IT16">
        <v>1.9670000000000001</v>
      </c>
      <c r="IU16">
        <v>1.5249999999999999</v>
      </c>
      <c r="IV16">
        <v>0.2</v>
      </c>
      <c r="IW16">
        <v>-4.4000000000000004</v>
      </c>
      <c r="IX16">
        <v>0.42899999999999999</v>
      </c>
      <c r="IY16">
        <v>0.49299999999999999</v>
      </c>
      <c r="IZ16">
        <v>-0.14199999999999999</v>
      </c>
      <c r="JA16">
        <v>1.2889999999999999</v>
      </c>
      <c r="JB16">
        <v>0.42299999999999999</v>
      </c>
      <c r="JC16">
        <v>0.63100000000000001</v>
      </c>
      <c r="JD16">
        <v>0.34</v>
      </c>
      <c r="JE16">
        <v>-2.7930000000000001</v>
      </c>
      <c r="JF16">
        <v>1.167</v>
      </c>
      <c r="JG16">
        <v>2.6389999999999998</v>
      </c>
      <c r="JH16">
        <v>4.4999999999999998E-2</v>
      </c>
      <c r="JI16">
        <v>-9.0779999999999994</v>
      </c>
      <c r="JJ16">
        <v>0.57399999999999995</v>
      </c>
      <c r="JK16">
        <v>-6.2939999999999996</v>
      </c>
      <c r="JL16">
        <v>0.36599999999999999</v>
      </c>
      <c r="JM16">
        <v>1.762</v>
      </c>
      <c r="JN16">
        <v>0.97299999999999998</v>
      </c>
      <c r="JO16">
        <v>1.5329999999999999</v>
      </c>
      <c r="JP16">
        <v>-5.1920000000000002</v>
      </c>
      <c r="JQ16">
        <v>0.98199999999999998</v>
      </c>
      <c r="JR16">
        <v>0.72099999999999997</v>
      </c>
      <c r="JS16">
        <v>1.238</v>
      </c>
      <c r="JT16">
        <v>-0.21</v>
      </c>
      <c r="JU16">
        <v>0.64800000000000002</v>
      </c>
      <c r="JV16">
        <v>-1E-3</v>
      </c>
      <c r="JW16">
        <v>2.8610000000000002</v>
      </c>
      <c r="JX16">
        <v>0.97099999999999997</v>
      </c>
      <c r="JY16">
        <v>-5.8140000000000001</v>
      </c>
      <c r="JZ16">
        <v>-5.5369999999999999</v>
      </c>
      <c r="KA16">
        <v>-0.11799999999999999</v>
      </c>
      <c r="KB16">
        <v>0.157</v>
      </c>
      <c r="KC16">
        <v>0.33400000000000002</v>
      </c>
      <c r="KD16">
        <v>1.214</v>
      </c>
      <c r="KE16">
        <v>-4.6509999999999998</v>
      </c>
      <c r="KF16">
        <v>-9.9510000000000005</v>
      </c>
      <c r="KG16">
        <v>2.3620000000000001</v>
      </c>
      <c r="KH16">
        <v>3.3319999999999999</v>
      </c>
      <c r="KI16">
        <v>1.2490000000000001</v>
      </c>
      <c r="KJ16">
        <v>7.6999999999999999E-2</v>
      </c>
      <c r="KK16">
        <v>1.859</v>
      </c>
      <c r="KL16">
        <v>-4.1399999999999997</v>
      </c>
      <c r="KM16">
        <v>-5.7839999999999998</v>
      </c>
      <c r="KN16">
        <v>0.79</v>
      </c>
      <c r="KO16">
        <v>-8.3000000000000004E-2</v>
      </c>
      <c r="KP16">
        <v>-3.5150000000000001</v>
      </c>
      <c r="KQ16">
        <v>-11.225</v>
      </c>
      <c r="KR16">
        <v>-11.33</v>
      </c>
    </row>
    <row r="17" spans="1:309" x14ac:dyDescent="0.25">
      <c r="A17">
        <v>2015</v>
      </c>
      <c r="B17">
        <v>2</v>
      </c>
      <c r="C17">
        <v>-7.742</v>
      </c>
      <c r="D17">
        <v>0.68600000000000005</v>
      </c>
      <c r="E17">
        <v>1.4179999999999999</v>
      </c>
      <c r="F17">
        <v>0.64300000000000002</v>
      </c>
      <c r="G17">
        <v>0.30499999999999999</v>
      </c>
      <c r="H17">
        <v>0.46500000000000002</v>
      </c>
      <c r="I17">
        <v>-5.33</v>
      </c>
      <c r="J17">
        <v>-4.6349999999999998</v>
      </c>
      <c r="K17">
        <v>-0.107</v>
      </c>
      <c r="L17">
        <v>0.224</v>
      </c>
      <c r="M17">
        <v>-0.57199999999999995</v>
      </c>
      <c r="N17">
        <v>0.52700000000000002</v>
      </c>
      <c r="O17">
        <v>-2.7879999999999998</v>
      </c>
      <c r="P17">
        <v>1.452</v>
      </c>
      <c r="Q17">
        <v>-3.8570000000000002</v>
      </c>
      <c r="R17">
        <v>0.57399999999999995</v>
      </c>
      <c r="S17">
        <v>-1.27</v>
      </c>
      <c r="T17">
        <v>1.601</v>
      </c>
      <c r="U17">
        <v>-0.78400000000000003</v>
      </c>
      <c r="V17">
        <v>-0.15</v>
      </c>
      <c r="W17">
        <v>0.72799999999999998</v>
      </c>
      <c r="X17">
        <v>1.3939999999999999</v>
      </c>
      <c r="Y17">
        <v>1.6259999999999999</v>
      </c>
      <c r="Z17">
        <v>-2.6970000000000001</v>
      </c>
      <c r="AA17">
        <v>1.9370000000000001</v>
      </c>
      <c r="AB17">
        <v>1.355</v>
      </c>
      <c r="AC17">
        <v>-0.63700000000000001</v>
      </c>
      <c r="AD17">
        <v>0.42</v>
      </c>
      <c r="AE17">
        <v>1.264</v>
      </c>
      <c r="AF17">
        <v>-0.16800000000000001</v>
      </c>
      <c r="AG17">
        <v>-1.2170000000000001</v>
      </c>
      <c r="AH17">
        <v>-3.5289999999999999</v>
      </c>
      <c r="AI17">
        <v>-1.504</v>
      </c>
      <c r="AJ17">
        <v>-0.22600000000000001</v>
      </c>
      <c r="AK17">
        <v>0.66400000000000003</v>
      </c>
      <c r="AL17">
        <v>0.35599999999999998</v>
      </c>
      <c r="AM17">
        <v>0.495</v>
      </c>
      <c r="AN17">
        <v>1.4590000000000001</v>
      </c>
      <c r="AO17">
        <v>0.94</v>
      </c>
      <c r="AP17">
        <v>-0.751</v>
      </c>
      <c r="AQ17">
        <v>1.4159999999999999</v>
      </c>
      <c r="AR17">
        <v>-8.0000000000000002E-3</v>
      </c>
      <c r="AS17">
        <v>2.258</v>
      </c>
      <c r="AT17">
        <v>-0.878</v>
      </c>
      <c r="AU17">
        <v>-1.095</v>
      </c>
      <c r="AV17">
        <v>0.153</v>
      </c>
      <c r="AW17">
        <v>0.58599999999999997</v>
      </c>
      <c r="AX17">
        <v>0.505</v>
      </c>
      <c r="AY17">
        <v>-8.8999999999999996E-2</v>
      </c>
      <c r="AZ17">
        <v>-3.4729999999999999</v>
      </c>
      <c r="BA17">
        <v>0.69499999999999995</v>
      </c>
      <c r="BB17">
        <v>-3.1429999999999998</v>
      </c>
      <c r="BC17">
        <v>-1.1950000000000001</v>
      </c>
      <c r="BD17">
        <v>0.09</v>
      </c>
      <c r="BE17">
        <v>0.54300000000000004</v>
      </c>
      <c r="BF17">
        <v>1.0940000000000001</v>
      </c>
      <c r="BG17">
        <v>-4.0640000000000001</v>
      </c>
      <c r="BH17">
        <v>-6.4809999999999999</v>
      </c>
      <c r="BI17">
        <v>-1E-3</v>
      </c>
      <c r="BJ17">
        <v>1.47</v>
      </c>
      <c r="BK17">
        <v>0.86599999999999999</v>
      </c>
      <c r="BL17">
        <v>0.63400000000000001</v>
      </c>
      <c r="BM17">
        <v>-1.244</v>
      </c>
      <c r="BN17">
        <v>0.51500000000000001</v>
      </c>
      <c r="BO17">
        <v>0.11899999999999999</v>
      </c>
      <c r="BP17">
        <v>1.5169999999999999</v>
      </c>
      <c r="BQ17">
        <v>-2.19</v>
      </c>
      <c r="BR17">
        <v>0.437</v>
      </c>
      <c r="BS17">
        <v>0.91300000000000003</v>
      </c>
      <c r="BT17">
        <v>-3.101</v>
      </c>
      <c r="BU17">
        <v>-3.8540000000000001</v>
      </c>
      <c r="BV17">
        <v>-0.751</v>
      </c>
      <c r="BW17">
        <v>1.522</v>
      </c>
      <c r="BX17">
        <v>-5.5819999999999999</v>
      </c>
      <c r="BY17">
        <v>1.522</v>
      </c>
      <c r="BZ17">
        <v>0.48099999999999998</v>
      </c>
      <c r="CA17">
        <v>1.071</v>
      </c>
      <c r="CB17">
        <v>-1.06</v>
      </c>
      <c r="CC17">
        <v>0.439</v>
      </c>
      <c r="CD17">
        <v>0.81</v>
      </c>
      <c r="CE17">
        <v>-0.28199999999999997</v>
      </c>
      <c r="CF17">
        <v>0.53700000000000003</v>
      </c>
      <c r="CG17">
        <v>0.59399999999999997</v>
      </c>
      <c r="CH17">
        <v>-1.1359999999999999</v>
      </c>
      <c r="CI17">
        <v>-0.41499999999999998</v>
      </c>
      <c r="CJ17">
        <v>1.21</v>
      </c>
      <c r="CK17">
        <v>1.0569999999999999</v>
      </c>
      <c r="CL17">
        <v>1.7210000000000001</v>
      </c>
      <c r="CM17">
        <v>0.84</v>
      </c>
      <c r="CN17">
        <v>1.083</v>
      </c>
      <c r="CO17">
        <v>1.0640000000000001</v>
      </c>
      <c r="CP17">
        <v>-5.1189999999999998</v>
      </c>
      <c r="CQ17">
        <v>-2.7850000000000001</v>
      </c>
      <c r="CR17">
        <v>1.1140000000000001</v>
      </c>
      <c r="CS17">
        <v>0.21199999999999999</v>
      </c>
      <c r="CT17">
        <v>-3.5880000000000001</v>
      </c>
      <c r="CU17">
        <v>1.607</v>
      </c>
      <c r="CV17">
        <v>-7.766</v>
      </c>
      <c r="CW17">
        <v>0.99299999999999999</v>
      </c>
      <c r="CX17">
        <v>1.5409999999999999</v>
      </c>
      <c r="CY17">
        <v>-0.52200000000000002</v>
      </c>
      <c r="CZ17">
        <v>1.6879999999999999</v>
      </c>
      <c r="DA17">
        <v>0.16800000000000001</v>
      </c>
      <c r="DB17">
        <v>0.54600000000000004</v>
      </c>
      <c r="DC17">
        <v>1.7000000000000001E-2</v>
      </c>
      <c r="DD17">
        <v>0.72</v>
      </c>
      <c r="DE17">
        <v>-7.0919999999999996</v>
      </c>
      <c r="DF17">
        <v>0.161</v>
      </c>
      <c r="DG17">
        <v>1.2909999999999999</v>
      </c>
      <c r="DH17">
        <v>0.6</v>
      </c>
      <c r="DI17">
        <v>-1.4359999999999999</v>
      </c>
      <c r="DJ17">
        <v>-1.6259999999999999</v>
      </c>
      <c r="DK17">
        <v>1.6850000000000001</v>
      </c>
      <c r="DL17">
        <v>6.0000000000000001E-3</v>
      </c>
      <c r="DM17">
        <v>0.63700000000000001</v>
      </c>
      <c r="DN17">
        <v>1.5529999999999999</v>
      </c>
      <c r="DO17">
        <v>0.48599999999999999</v>
      </c>
      <c r="DP17">
        <v>1.637</v>
      </c>
      <c r="DQ17">
        <v>-6.9530000000000003</v>
      </c>
      <c r="DR17">
        <v>1.7669999999999999</v>
      </c>
      <c r="DS17">
        <v>0.36099999999999999</v>
      </c>
      <c r="DT17">
        <v>1.421</v>
      </c>
      <c r="DU17">
        <v>1.6419999999999999</v>
      </c>
      <c r="DV17">
        <v>0.29199999999999998</v>
      </c>
      <c r="DW17">
        <v>0.55600000000000005</v>
      </c>
      <c r="DX17">
        <v>-1.0760000000000001</v>
      </c>
      <c r="DY17">
        <v>0.79900000000000004</v>
      </c>
      <c r="DZ17">
        <v>0.24</v>
      </c>
      <c r="EA17">
        <v>1.2849999999999999</v>
      </c>
      <c r="EB17">
        <v>1.0369999999999999</v>
      </c>
      <c r="EC17">
        <v>1.07</v>
      </c>
      <c r="ED17">
        <v>-0.32300000000000001</v>
      </c>
      <c r="EE17">
        <v>0.78</v>
      </c>
      <c r="EF17">
        <v>0.70799999999999996</v>
      </c>
      <c r="EG17">
        <v>-1.7869999999999999</v>
      </c>
      <c r="EH17">
        <v>1.9419999999999999</v>
      </c>
      <c r="EI17">
        <v>-0.879</v>
      </c>
      <c r="EJ17">
        <v>-2.8679999999999999</v>
      </c>
      <c r="EK17">
        <v>1.788</v>
      </c>
      <c r="EL17">
        <v>-3.0249999999999999</v>
      </c>
      <c r="EM17">
        <v>1.8049999999999999</v>
      </c>
      <c r="EN17">
        <v>0.13500000000000001</v>
      </c>
      <c r="EO17">
        <v>1.9870000000000001</v>
      </c>
      <c r="EP17">
        <v>-2.4350000000000001</v>
      </c>
      <c r="EQ17">
        <v>-4.2439999999999998</v>
      </c>
      <c r="ER17">
        <v>1.0780000000000001</v>
      </c>
      <c r="ES17">
        <v>0.95199999999999996</v>
      </c>
      <c r="ET17">
        <v>1.1519999999999999</v>
      </c>
      <c r="EU17">
        <v>0.61099999999999999</v>
      </c>
      <c r="EV17">
        <v>-1.222</v>
      </c>
      <c r="EW17">
        <v>0.59499999999999997</v>
      </c>
      <c r="EX17">
        <v>1.1180000000000001</v>
      </c>
      <c r="EY17">
        <v>-1.105</v>
      </c>
      <c r="EZ17">
        <v>0.45</v>
      </c>
      <c r="FA17">
        <v>1.397</v>
      </c>
      <c r="FB17">
        <v>1.35</v>
      </c>
      <c r="FC17">
        <v>1.4279999999999999</v>
      </c>
      <c r="FD17">
        <v>1.355</v>
      </c>
      <c r="FE17">
        <v>-0.54700000000000004</v>
      </c>
      <c r="FF17">
        <v>-0.72299999999999998</v>
      </c>
      <c r="FG17">
        <v>-1.0249999999999999</v>
      </c>
      <c r="FH17">
        <v>-1.5820000000000001</v>
      </c>
      <c r="FI17">
        <v>0.67500000000000004</v>
      </c>
      <c r="FJ17">
        <v>0.95799999999999996</v>
      </c>
      <c r="FK17">
        <v>-3.7749999999999999</v>
      </c>
      <c r="FL17">
        <v>0.99099999999999999</v>
      </c>
      <c r="FM17">
        <v>0.66700000000000004</v>
      </c>
      <c r="FN17">
        <v>0.76600000000000001</v>
      </c>
      <c r="FO17">
        <v>1.2230000000000001</v>
      </c>
      <c r="FP17">
        <v>-0.61699999999999999</v>
      </c>
      <c r="FQ17">
        <v>-0.85799999999999998</v>
      </c>
      <c r="FR17">
        <v>1.0429999999999999</v>
      </c>
      <c r="FS17">
        <v>-1.766</v>
      </c>
      <c r="FT17">
        <v>1.468</v>
      </c>
      <c r="FU17">
        <v>0.88300000000000001</v>
      </c>
      <c r="FV17">
        <v>1.1259999999999999</v>
      </c>
      <c r="FW17">
        <v>1.0169999999999999</v>
      </c>
      <c r="FX17">
        <v>-5.7240000000000002</v>
      </c>
      <c r="FY17">
        <v>1.2210000000000001</v>
      </c>
      <c r="FZ17">
        <v>-2.8570000000000002</v>
      </c>
      <c r="GA17">
        <v>-6.1059999999999999</v>
      </c>
      <c r="GB17">
        <v>-1.355</v>
      </c>
      <c r="GC17">
        <v>1.71</v>
      </c>
      <c r="GD17">
        <v>-1.56</v>
      </c>
      <c r="GE17">
        <v>-0.38900000000000001</v>
      </c>
      <c r="GF17">
        <v>0.90800000000000003</v>
      </c>
      <c r="GG17">
        <v>-0.27500000000000002</v>
      </c>
      <c r="GH17">
        <v>0.58899999999999997</v>
      </c>
      <c r="GI17">
        <v>1.9790000000000001</v>
      </c>
      <c r="GJ17">
        <v>1.1399999999999999</v>
      </c>
      <c r="GK17">
        <v>0.52800000000000002</v>
      </c>
      <c r="GL17">
        <v>-1.972</v>
      </c>
      <c r="GM17">
        <v>-0.755</v>
      </c>
      <c r="GN17">
        <v>1.401</v>
      </c>
      <c r="GO17">
        <v>0.27400000000000002</v>
      </c>
      <c r="GP17">
        <v>0.20300000000000001</v>
      </c>
      <c r="GQ17">
        <v>-0.72099999999999997</v>
      </c>
      <c r="GR17">
        <v>-2.2949999999999999</v>
      </c>
      <c r="GS17">
        <v>1.0609999999999999</v>
      </c>
      <c r="GT17">
        <v>1.28</v>
      </c>
      <c r="GU17">
        <v>-4.4640000000000004</v>
      </c>
      <c r="GV17">
        <v>2.0649999999999999</v>
      </c>
      <c r="GW17">
        <v>1.7569999999999999</v>
      </c>
      <c r="GX17">
        <v>1.3759999999999999</v>
      </c>
      <c r="GY17">
        <v>1.119</v>
      </c>
      <c r="GZ17">
        <v>1.2410000000000001</v>
      </c>
      <c r="HA17">
        <v>-0.71699999999999997</v>
      </c>
      <c r="HB17">
        <v>-2.274</v>
      </c>
      <c r="HC17">
        <v>-4.1520000000000001</v>
      </c>
      <c r="HD17">
        <v>0.53700000000000003</v>
      </c>
      <c r="HE17">
        <v>1.492</v>
      </c>
      <c r="HF17">
        <v>-3.137</v>
      </c>
      <c r="HG17">
        <v>1.222</v>
      </c>
      <c r="HH17">
        <v>-0.51300000000000001</v>
      </c>
      <c r="HI17">
        <v>-0.70799999999999996</v>
      </c>
      <c r="HJ17">
        <v>-0.16800000000000001</v>
      </c>
      <c r="HK17">
        <v>1.4179999999999999</v>
      </c>
      <c r="HL17">
        <v>1.5840000000000001</v>
      </c>
      <c r="HM17">
        <v>-2.6070000000000002</v>
      </c>
      <c r="HN17">
        <v>0.14399999999999999</v>
      </c>
      <c r="HO17">
        <v>-2.6120000000000001</v>
      </c>
      <c r="HP17">
        <v>1.1850000000000001</v>
      </c>
      <c r="HQ17">
        <v>0.39600000000000002</v>
      </c>
      <c r="HR17">
        <v>-3.907</v>
      </c>
      <c r="HS17">
        <v>-4.6840000000000002</v>
      </c>
      <c r="HT17">
        <v>-0.67600000000000005</v>
      </c>
      <c r="HU17">
        <v>-0.33500000000000002</v>
      </c>
      <c r="HV17">
        <v>-8.9999999999999993E-3</v>
      </c>
      <c r="HW17">
        <v>0.89600000000000002</v>
      </c>
      <c r="HX17">
        <v>0.751</v>
      </c>
      <c r="HY17">
        <v>1.73</v>
      </c>
      <c r="HZ17">
        <v>1.3029999999999999</v>
      </c>
      <c r="IA17">
        <v>0.82199999999999995</v>
      </c>
      <c r="IB17">
        <v>0.155</v>
      </c>
      <c r="IC17">
        <v>-0.11600000000000001</v>
      </c>
      <c r="ID17">
        <v>-1.4219999999999999</v>
      </c>
      <c r="IE17">
        <v>0.54</v>
      </c>
      <c r="IF17">
        <v>1.8420000000000001</v>
      </c>
      <c r="IG17">
        <v>1.254</v>
      </c>
      <c r="IH17">
        <v>-0.91400000000000003</v>
      </c>
      <c r="II17">
        <v>1.569</v>
      </c>
      <c r="IJ17">
        <v>7.0000000000000007E-2</v>
      </c>
      <c r="IK17">
        <v>3.2000000000000001E-2</v>
      </c>
      <c r="IL17">
        <v>2.0030000000000001</v>
      </c>
      <c r="IM17">
        <v>1.2310000000000001</v>
      </c>
      <c r="IN17">
        <v>0.88200000000000001</v>
      </c>
      <c r="IO17">
        <v>1.3149999999999999</v>
      </c>
      <c r="IP17">
        <v>1.1000000000000001</v>
      </c>
      <c r="IQ17">
        <v>-3.847</v>
      </c>
      <c r="IR17">
        <v>-0.33</v>
      </c>
      <c r="IS17">
        <v>0.71399999999999997</v>
      </c>
      <c r="IT17">
        <v>1.5029999999999999</v>
      </c>
      <c r="IU17">
        <v>0.63100000000000001</v>
      </c>
      <c r="IV17">
        <v>-0.43099999999999999</v>
      </c>
      <c r="IW17">
        <v>-1.482</v>
      </c>
      <c r="IX17">
        <v>0.76500000000000001</v>
      </c>
      <c r="IY17">
        <v>0.86599999999999999</v>
      </c>
      <c r="IZ17">
        <v>0.38600000000000001</v>
      </c>
      <c r="JA17">
        <v>0.84199999999999997</v>
      </c>
      <c r="JB17">
        <v>-5.6000000000000001E-2</v>
      </c>
      <c r="JC17">
        <v>0.97</v>
      </c>
      <c r="JD17">
        <v>0.70299999999999996</v>
      </c>
      <c r="JE17">
        <v>-1.6279999999999999</v>
      </c>
      <c r="JF17">
        <v>0.91800000000000004</v>
      </c>
      <c r="JG17">
        <v>1.4319999999999999</v>
      </c>
      <c r="JH17">
        <v>-0.21299999999999999</v>
      </c>
      <c r="JI17">
        <v>-3.7730000000000001</v>
      </c>
      <c r="JJ17">
        <v>0.35</v>
      </c>
      <c r="JK17">
        <v>-2.7559999999999998</v>
      </c>
      <c r="JL17">
        <v>0.53</v>
      </c>
      <c r="JM17">
        <v>1.577</v>
      </c>
      <c r="JN17">
        <v>0.52100000000000002</v>
      </c>
      <c r="JO17">
        <v>1.3109999999999999</v>
      </c>
      <c r="JP17">
        <v>-2.0790000000000002</v>
      </c>
      <c r="JQ17">
        <v>1.2869999999999999</v>
      </c>
      <c r="JR17">
        <v>0.20799999999999999</v>
      </c>
      <c r="JS17">
        <v>1.506</v>
      </c>
      <c r="JT17">
        <v>0.24299999999999999</v>
      </c>
      <c r="JU17">
        <v>0.22</v>
      </c>
      <c r="JV17">
        <v>-0.218</v>
      </c>
      <c r="JW17">
        <v>1.7250000000000001</v>
      </c>
      <c r="JX17">
        <v>0.90700000000000003</v>
      </c>
      <c r="JY17">
        <v>-2.2839999999999998</v>
      </c>
      <c r="JZ17">
        <v>-2.399</v>
      </c>
      <c r="KA17">
        <v>-0.186</v>
      </c>
      <c r="KB17">
        <v>-0.253</v>
      </c>
      <c r="KC17">
        <v>0.41599999999999998</v>
      </c>
      <c r="KD17">
        <v>0.67500000000000004</v>
      </c>
      <c r="KE17">
        <v>-3.27</v>
      </c>
      <c r="KF17">
        <v>-3.4670000000000001</v>
      </c>
      <c r="KG17">
        <v>1.43</v>
      </c>
      <c r="KH17">
        <v>1.9810000000000001</v>
      </c>
      <c r="KI17">
        <v>0.96</v>
      </c>
      <c r="KJ17">
        <v>0.50900000000000001</v>
      </c>
      <c r="KK17">
        <v>1.0489999999999999</v>
      </c>
      <c r="KL17">
        <v>-1.4450000000000001</v>
      </c>
      <c r="KM17">
        <v>-2.73</v>
      </c>
      <c r="KN17">
        <v>1.1020000000000001</v>
      </c>
      <c r="KO17">
        <v>0.72599999999999998</v>
      </c>
      <c r="KP17">
        <v>-2.4239999999999999</v>
      </c>
      <c r="KQ17">
        <v>-4.5069999999999997</v>
      </c>
      <c r="KR17">
        <v>-4.3390000000000004</v>
      </c>
    </row>
    <row r="18" spans="1:309" x14ac:dyDescent="0.25">
      <c r="A18">
        <v>2015</v>
      </c>
      <c r="B18">
        <v>3</v>
      </c>
      <c r="C18">
        <v>-3.4449999999999998</v>
      </c>
      <c r="D18">
        <v>2.6440000000000001</v>
      </c>
      <c r="E18">
        <v>3.9380000000000002</v>
      </c>
      <c r="F18">
        <v>3.2639999999999998</v>
      </c>
      <c r="G18">
        <v>3.1970000000000001</v>
      </c>
      <c r="H18">
        <v>2.9430000000000001</v>
      </c>
      <c r="I18">
        <v>-3.8450000000000002</v>
      </c>
      <c r="J18">
        <v>-2.5339999999999998</v>
      </c>
      <c r="K18">
        <v>2.7080000000000002</v>
      </c>
      <c r="L18">
        <v>2.57</v>
      </c>
      <c r="M18">
        <v>1.9259999999999999</v>
      </c>
      <c r="N18">
        <v>2.694</v>
      </c>
      <c r="O18">
        <v>-0.40100000000000002</v>
      </c>
      <c r="P18">
        <v>4.4530000000000003</v>
      </c>
      <c r="Q18">
        <v>-0.88500000000000001</v>
      </c>
      <c r="R18">
        <v>3.42</v>
      </c>
      <c r="S18">
        <v>1.284</v>
      </c>
      <c r="T18">
        <v>4.117</v>
      </c>
      <c r="U18">
        <v>1.7490000000000001</v>
      </c>
      <c r="V18">
        <v>3.0470000000000002</v>
      </c>
      <c r="W18">
        <v>2.7570000000000001</v>
      </c>
      <c r="X18">
        <v>4.0119999999999996</v>
      </c>
      <c r="Y18">
        <v>4.2560000000000002</v>
      </c>
      <c r="Z18">
        <v>-4.1000000000000002E-2</v>
      </c>
      <c r="AA18">
        <v>4.8410000000000002</v>
      </c>
      <c r="AB18">
        <v>4.2249999999999996</v>
      </c>
      <c r="AC18">
        <v>2.31</v>
      </c>
      <c r="AD18">
        <v>2.5619999999999998</v>
      </c>
      <c r="AE18">
        <v>3.3559999999999999</v>
      </c>
      <c r="AF18">
        <v>2.21</v>
      </c>
      <c r="AG18">
        <v>1.095</v>
      </c>
      <c r="AH18">
        <v>-1.3740000000000001</v>
      </c>
      <c r="AI18">
        <v>1.042</v>
      </c>
      <c r="AJ18">
        <v>2.621</v>
      </c>
      <c r="AK18">
        <v>3.2440000000000002</v>
      </c>
      <c r="AL18">
        <v>2.7679999999999998</v>
      </c>
      <c r="AM18">
        <v>2.8580000000000001</v>
      </c>
      <c r="AN18">
        <v>4.415</v>
      </c>
      <c r="AO18">
        <v>3.4580000000000002</v>
      </c>
      <c r="AP18">
        <v>1.8720000000000001</v>
      </c>
      <c r="AQ18">
        <v>4.13</v>
      </c>
      <c r="AR18">
        <v>3.0190000000000001</v>
      </c>
      <c r="AS18">
        <v>4.5860000000000003</v>
      </c>
      <c r="AT18">
        <v>1.802</v>
      </c>
      <c r="AU18">
        <v>1.633</v>
      </c>
      <c r="AV18">
        <v>2.3719999999999999</v>
      </c>
      <c r="AW18">
        <v>3.1280000000000001</v>
      </c>
      <c r="AX18">
        <v>2.7759999999999998</v>
      </c>
      <c r="AY18">
        <v>2.944</v>
      </c>
      <c r="AZ18">
        <v>-1.2210000000000001</v>
      </c>
      <c r="BA18">
        <v>2.9550000000000001</v>
      </c>
      <c r="BB18">
        <v>-0.251</v>
      </c>
      <c r="BC18">
        <v>1.4039999999999999</v>
      </c>
      <c r="BD18">
        <v>3.0750000000000002</v>
      </c>
      <c r="BE18">
        <v>2.5720000000000001</v>
      </c>
      <c r="BF18">
        <v>3.609</v>
      </c>
      <c r="BG18">
        <v>-2.0089999999999999</v>
      </c>
      <c r="BH18">
        <v>-3.266</v>
      </c>
      <c r="BI18">
        <v>2.282</v>
      </c>
      <c r="BJ18">
        <v>4.298</v>
      </c>
      <c r="BK18">
        <v>3.5840000000000001</v>
      </c>
      <c r="BL18">
        <v>3.0070000000000001</v>
      </c>
      <c r="BM18">
        <v>1.746</v>
      </c>
      <c r="BN18">
        <v>2.8450000000000002</v>
      </c>
      <c r="BO18">
        <v>2.722</v>
      </c>
      <c r="BP18">
        <v>4.3109999999999999</v>
      </c>
      <c r="BQ18">
        <v>0.42099999999999999</v>
      </c>
      <c r="BR18">
        <v>3.14</v>
      </c>
      <c r="BS18">
        <v>2.74</v>
      </c>
      <c r="BT18">
        <v>-1.2470000000000001</v>
      </c>
      <c r="BU18">
        <v>-1.6120000000000001</v>
      </c>
      <c r="BV18">
        <v>1.8220000000000001</v>
      </c>
      <c r="BW18">
        <v>4.5220000000000002</v>
      </c>
      <c r="BX18">
        <v>-4.2640000000000002</v>
      </c>
      <c r="BY18">
        <v>3.3679999999999999</v>
      </c>
      <c r="BZ18">
        <v>3.1589999999999998</v>
      </c>
      <c r="CA18">
        <v>3.5870000000000002</v>
      </c>
      <c r="CB18">
        <v>1.554</v>
      </c>
      <c r="CC18">
        <v>3.0219999999999998</v>
      </c>
      <c r="CD18">
        <v>2.794</v>
      </c>
      <c r="CE18">
        <v>1.5940000000000001</v>
      </c>
      <c r="CF18">
        <v>3.109</v>
      </c>
      <c r="CG18">
        <v>3.35</v>
      </c>
      <c r="CH18">
        <v>1.4410000000000001</v>
      </c>
      <c r="CI18">
        <v>1.159</v>
      </c>
      <c r="CJ18">
        <v>4.1219999999999999</v>
      </c>
      <c r="CK18">
        <v>3.714</v>
      </c>
      <c r="CL18">
        <v>4.4459999999999997</v>
      </c>
      <c r="CM18">
        <v>3.4390000000000001</v>
      </c>
      <c r="CN18">
        <v>3.9689999999999999</v>
      </c>
      <c r="CO18">
        <v>3.9489999999999998</v>
      </c>
      <c r="CP18">
        <v>-2.3330000000000002</v>
      </c>
      <c r="CQ18">
        <v>-0.27800000000000002</v>
      </c>
      <c r="CR18">
        <v>3.4569999999999999</v>
      </c>
      <c r="CS18">
        <v>3.2490000000000001</v>
      </c>
      <c r="CT18">
        <v>-1.429</v>
      </c>
      <c r="CU18">
        <v>4.1130000000000004</v>
      </c>
      <c r="CV18">
        <v>-3.391</v>
      </c>
      <c r="CW18">
        <v>3.399</v>
      </c>
      <c r="CX18">
        <v>3.927</v>
      </c>
      <c r="CY18">
        <v>1.9890000000000001</v>
      </c>
      <c r="CZ18">
        <v>4.0369999999999999</v>
      </c>
      <c r="DA18">
        <v>3.121</v>
      </c>
      <c r="DB18">
        <v>2.95</v>
      </c>
      <c r="DC18">
        <v>2.9159999999999999</v>
      </c>
      <c r="DD18">
        <v>3.6320000000000001</v>
      </c>
      <c r="DE18">
        <v>-3.4089999999999998</v>
      </c>
      <c r="DF18">
        <v>2.7240000000000002</v>
      </c>
      <c r="DG18">
        <v>4.0789999999999997</v>
      </c>
      <c r="DH18">
        <v>2.9529999999999998</v>
      </c>
      <c r="DI18">
        <v>1.2250000000000001</v>
      </c>
      <c r="DJ18">
        <v>0.41899999999999998</v>
      </c>
      <c r="DK18">
        <v>4.3540000000000001</v>
      </c>
      <c r="DL18">
        <v>2.722</v>
      </c>
      <c r="DM18">
        <v>3.0009999999999999</v>
      </c>
      <c r="DN18">
        <v>4.2370000000000001</v>
      </c>
      <c r="DO18">
        <v>2.907</v>
      </c>
      <c r="DP18">
        <v>4.2009999999999996</v>
      </c>
      <c r="DQ18">
        <v>-3.931</v>
      </c>
      <c r="DR18">
        <v>4.6900000000000004</v>
      </c>
      <c r="DS18">
        <v>2.875</v>
      </c>
      <c r="DT18">
        <v>4.1920000000000002</v>
      </c>
      <c r="DU18">
        <v>4.5039999999999996</v>
      </c>
      <c r="DV18">
        <v>2.6379999999999999</v>
      </c>
      <c r="DW18">
        <v>2.9420000000000002</v>
      </c>
      <c r="DX18">
        <v>1.6339999999999999</v>
      </c>
      <c r="DY18">
        <v>3.5819999999999999</v>
      </c>
      <c r="DZ18">
        <v>3.0129999999999999</v>
      </c>
      <c r="EA18">
        <v>3.343</v>
      </c>
      <c r="EB18">
        <v>3.7149999999999999</v>
      </c>
      <c r="EC18">
        <v>3.5920000000000001</v>
      </c>
      <c r="ED18">
        <v>2.1339999999999999</v>
      </c>
      <c r="EE18">
        <v>3.47</v>
      </c>
      <c r="EF18">
        <v>3.24</v>
      </c>
      <c r="EG18">
        <v>1.0349999999999999</v>
      </c>
      <c r="EH18">
        <v>4.8410000000000002</v>
      </c>
      <c r="EI18">
        <v>1.7010000000000001</v>
      </c>
      <c r="EJ18">
        <v>-0.22800000000000001</v>
      </c>
      <c r="EK18">
        <v>4.7140000000000004</v>
      </c>
      <c r="EL18">
        <v>-1.056</v>
      </c>
      <c r="EM18">
        <v>3.879</v>
      </c>
      <c r="EN18">
        <v>2.907</v>
      </c>
      <c r="EO18">
        <v>4.7880000000000003</v>
      </c>
      <c r="EP18">
        <v>0.53800000000000003</v>
      </c>
      <c r="EQ18">
        <v>-2.1110000000000002</v>
      </c>
      <c r="ER18">
        <v>4.0449999999999999</v>
      </c>
      <c r="ES18">
        <v>3.661</v>
      </c>
      <c r="ET18">
        <v>3.4420000000000002</v>
      </c>
      <c r="EU18">
        <v>3.3079999999999998</v>
      </c>
      <c r="EV18">
        <v>1.643</v>
      </c>
      <c r="EW18">
        <v>3.2519999999999998</v>
      </c>
      <c r="EX18">
        <v>3.4220000000000002</v>
      </c>
      <c r="EY18">
        <v>1.956</v>
      </c>
      <c r="EZ18">
        <v>2.786</v>
      </c>
      <c r="FA18">
        <v>4.2960000000000003</v>
      </c>
      <c r="FB18">
        <v>3.8679999999999999</v>
      </c>
      <c r="FC18">
        <v>4.07</v>
      </c>
      <c r="FD18">
        <v>3.4740000000000002</v>
      </c>
      <c r="FE18">
        <v>1.8240000000000001</v>
      </c>
      <c r="FF18">
        <v>1.7310000000000001</v>
      </c>
      <c r="FG18">
        <v>0.996</v>
      </c>
      <c r="FH18">
        <v>0.192</v>
      </c>
      <c r="FI18">
        <v>3.2879999999999998</v>
      </c>
      <c r="FJ18">
        <v>2.5209999999999999</v>
      </c>
      <c r="FK18">
        <v>-1.6259999999999999</v>
      </c>
      <c r="FL18">
        <v>3.4569999999999999</v>
      </c>
      <c r="FM18">
        <v>2.8029999999999999</v>
      </c>
      <c r="FN18">
        <v>3.0219999999999998</v>
      </c>
      <c r="FO18">
        <v>2.702</v>
      </c>
      <c r="FP18">
        <v>2.371</v>
      </c>
      <c r="FQ18">
        <v>1.476</v>
      </c>
      <c r="FR18">
        <v>3.625</v>
      </c>
      <c r="FS18">
        <v>1.353</v>
      </c>
      <c r="FT18">
        <v>3.6259999999999999</v>
      </c>
      <c r="FU18">
        <v>3.5110000000000001</v>
      </c>
      <c r="FV18">
        <v>3.472</v>
      </c>
      <c r="FW18">
        <v>3.234</v>
      </c>
      <c r="FX18">
        <v>-2.0699999999999998</v>
      </c>
      <c r="FY18">
        <v>4.0730000000000004</v>
      </c>
      <c r="FZ18">
        <v>-7.1999999999999995E-2</v>
      </c>
      <c r="GA18">
        <v>-3.6230000000000002</v>
      </c>
      <c r="GB18">
        <v>0.39600000000000002</v>
      </c>
      <c r="GC18">
        <v>4.0270000000000001</v>
      </c>
      <c r="GD18">
        <v>1.3839999999999999</v>
      </c>
      <c r="GE18">
        <v>2.2240000000000002</v>
      </c>
      <c r="GF18">
        <v>3.254</v>
      </c>
      <c r="GG18">
        <v>2.0990000000000002</v>
      </c>
      <c r="GH18">
        <v>2.9670000000000001</v>
      </c>
      <c r="GI18">
        <v>4.3739999999999997</v>
      </c>
      <c r="GJ18">
        <v>4.1070000000000002</v>
      </c>
      <c r="GK18">
        <v>3.3849999999999998</v>
      </c>
      <c r="GL18">
        <v>0.43099999999999999</v>
      </c>
      <c r="GM18">
        <v>1.7969999999999999</v>
      </c>
      <c r="GN18">
        <v>4.218</v>
      </c>
      <c r="GO18">
        <v>2.4470000000000001</v>
      </c>
      <c r="GP18">
        <v>2.9710000000000001</v>
      </c>
      <c r="GQ18">
        <v>1.8089999999999999</v>
      </c>
      <c r="GR18">
        <v>-0.218</v>
      </c>
      <c r="GS18">
        <v>3.2719999999999998</v>
      </c>
      <c r="GT18">
        <v>3.5619999999999998</v>
      </c>
      <c r="GU18">
        <v>-2.77</v>
      </c>
      <c r="GV18">
        <v>4.01</v>
      </c>
      <c r="GW18">
        <v>4.6749999999999998</v>
      </c>
      <c r="GX18">
        <v>3.827</v>
      </c>
      <c r="GY18">
        <v>3.28</v>
      </c>
      <c r="GZ18">
        <v>3.5680000000000001</v>
      </c>
      <c r="HA18">
        <v>1.9950000000000001</v>
      </c>
      <c r="HB18">
        <v>-0.95699999999999996</v>
      </c>
      <c r="HC18">
        <v>-2.4620000000000002</v>
      </c>
      <c r="HD18">
        <v>2.774</v>
      </c>
      <c r="HE18">
        <v>3.59</v>
      </c>
      <c r="HF18">
        <v>-0.55800000000000005</v>
      </c>
      <c r="HG18">
        <v>3.5289999999999999</v>
      </c>
      <c r="HH18">
        <v>1.444</v>
      </c>
      <c r="HI18">
        <v>2.1669999999999998</v>
      </c>
      <c r="HJ18">
        <v>2.4569999999999999</v>
      </c>
      <c r="HK18">
        <v>4.3940000000000001</v>
      </c>
      <c r="HL18">
        <v>4.3780000000000001</v>
      </c>
      <c r="HM18">
        <v>-0.11600000000000001</v>
      </c>
      <c r="HN18">
        <v>2.9449999999999998</v>
      </c>
      <c r="HO18">
        <v>2.1000000000000001E-2</v>
      </c>
      <c r="HP18">
        <v>3.4849999999999999</v>
      </c>
      <c r="HQ18">
        <v>2.9009999999999998</v>
      </c>
      <c r="HR18">
        <v>-0.86</v>
      </c>
      <c r="HS18">
        <v>-1.548</v>
      </c>
      <c r="HT18">
        <v>1.7649999999999999</v>
      </c>
      <c r="HU18">
        <v>2.589</v>
      </c>
      <c r="HV18">
        <v>1.887</v>
      </c>
      <c r="HW18">
        <v>3.2469999999999999</v>
      </c>
      <c r="HX18">
        <v>3.0030000000000001</v>
      </c>
      <c r="HY18">
        <v>4.2119999999999997</v>
      </c>
      <c r="HZ18">
        <v>3.4279999999999999</v>
      </c>
      <c r="IA18">
        <v>3.47</v>
      </c>
      <c r="IB18">
        <v>3.0550000000000002</v>
      </c>
      <c r="IC18">
        <v>2.4630000000000001</v>
      </c>
      <c r="ID18">
        <v>0.81200000000000006</v>
      </c>
      <c r="IE18">
        <v>3.3090000000000002</v>
      </c>
      <c r="IF18">
        <v>4.1280000000000001</v>
      </c>
      <c r="IG18">
        <v>4.0640000000000001</v>
      </c>
      <c r="IH18">
        <v>1.8859999999999999</v>
      </c>
      <c r="II18">
        <v>3.863</v>
      </c>
      <c r="IJ18">
        <v>2.8679999999999999</v>
      </c>
      <c r="IK18">
        <v>2.8980000000000001</v>
      </c>
      <c r="IL18">
        <v>4.4660000000000002</v>
      </c>
      <c r="IM18">
        <v>3.7749999999999999</v>
      </c>
      <c r="IN18">
        <v>2.81</v>
      </c>
      <c r="IO18">
        <v>3.1819999999999999</v>
      </c>
      <c r="IP18">
        <v>3.1419999999999999</v>
      </c>
      <c r="IQ18">
        <v>-2.1040000000000001</v>
      </c>
      <c r="IR18">
        <v>2.2370000000000001</v>
      </c>
      <c r="IS18">
        <v>3.3719999999999999</v>
      </c>
      <c r="IT18">
        <v>3.6520000000000001</v>
      </c>
      <c r="IU18">
        <v>3.4409999999999998</v>
      </c>
      <c r="IV18">
        <v>2.62</v>
      </c>
      <c r="IW18">
        <v>0.28399999999999997</v>
      </c>
      <c r="IX18">
        <v>3.097</v>
      </c>
      <c r="IY18">
        <v>3.133</v>
      </c>
      <c r="IZ18">
        <v>2.786</v>
      </c>
      <c r="JA18">
        <v>3.496</v>
      </c>
      <c r="JB18">
        <v>2.88</v>
      </c>
      <c r="JC18">
        <v>3.2290000000000001</v>
      </c>
      <c r="JD18">
        <v>2.7069999999999999</v>
      </c>
      <c r="JE18">
        <v>1.0089999999999999</v>
      </c>
      <c r="JF18">
        <v>3.6080000000000001</v>
      </c>
      <c r="JG18">
        <v>4.04</v>
      </c>
      <c r="JH18">
        <v>2.6739999999999999</v>
      </c>
      <c r="JI18">
        <v>-1.8560000000000001</v>
      </c>
      <c r="JJ18">
        <v>3.0830000000000002</v>
      </c>
      <c r="JK18">
        <v>-0.56000000000000005</v>
      </c>
      <c r="JL18">
        <v>2.9510000000000001</v>
      </c>
      <c r="JM18">
        <v>3.512</v>
      </c>
      <c r="JN18">
        <v>3.1709999999999998</v>
      </c>
      <c r="JO18">
        <v>3.6459999999999999</v>
      </c>
      <c r="JP18">
        <v>-0.13800000000000001</v>
      </c>
      <c r="JQ18">
        <v>3.13</v>
      </c>
      <c r="JR18">
        <v>3.1869999999999998</v>
      </c>
      <c r="JS18">
        <v>3.734</v>
      </c>
      <c r="JT18">
        <v>2.8380000000000001</v>
      </c>
      <c r="JU18">
        <v>3.222</v>
      </c>
      <c r="JV18">
        <v>2.4910000000000001</v>
      </c>
      <c r="JW18">
        <v>4.2370000000000001</v>
      </c>
      <c r="JX18">
        <v>3.1509999999999998</v>
      </c>
      <c r="JY18">
        <v>0.56899999999999995</v>
      </c>
      <c r="JZ18">
        <v>-0.33400000000000002</v>
      </c>
      <c r="KA18">
        <v>2.298</v>
      </c>
      <c r="KB18">
        <v>2.5720000000000001</v>
      </c>
      <c r="KC18">
        <v>2.7650000000000001</v>
      </c>
      <c r="KD18">
        <v>3.2360000000000002</v>
      </c>
      <c r="KE18">
        <v>0.36499999999999999</v>
      </c>
      <c r="KF18">
        <v>-0.47</v>
      </c>
      <c r="KG18">
        <v>4.2969999999999997</v>
      </c>
      <c r="KH18">
        <v>4.4139999999999997</v>
      </c>
      <c r="KI18">
        <v>3.51</v>
      </c>
      <c r="KJ18">
        <v>2.8889999999999998</v>
      </c>
      <c r="KK18">
        <v>3.7490000000000001</v>
      </c>
      <c r="KL18">
        <v>0.316</v>
      </c>
      <c r="KM18">
        <v>0.13700000000000001</v>
      </c>
      <c r="KN18">
        <v>3.0230000000000001</v>
      </c>
      <c r="KO18">
        <v>2.363</v>
      </c>
      <c r="KP18">
        <v>0.64</v>
      </c>
      <c r="KQ18">
        <v>-1.19</v>
      </c>
      <c r="KR18">
        <v>-1.359</v>
      </c>
      <c r="KW18" t="s">
        <v>338</v>
      </c>
    </row>
    <row r="19" spans="1:309" x14ac:dyDescent="0.25">
      <c r="A19">
        <v>2015</v>
      </c>
      <c r="B19">
        <v>4</v>
      </c>
      <c r="C19">
        <v>-1.2050000000000001</v>
      </c>
      <c r="D19">
        <v>5.6479999999999997</v>
      </c>
      <c r="E19">
        <v>6.6070000000000002</v>
      </c>
      <c r="F19">
        <v>5.7969999999999997</v>
      </c>
      <c r="G19">
        <v>6.0019999999999998</v>
      </c>
      <c r="H19">
        <v>6.9610000000000003</v>
      </c>
      <c r="I19">
        <v>0.46100000000000002</v>
      </c>
      <c r="J19">
        <v>0.88</v>
      </c>
      <c r="K19">
        <v>5.9009999999999998</v>
      </c>
      <c r="L19">
        <v>5.9009999999999998</v>
      </c>
      <c r="M19">
        <v>5.8879999999999999</v>
      </c>
      <c r="N19">
        <v>5.7750000000000004</v>
      </c>
      <c r="O19">
        <v>2.8</v>
      </c>
      <c r="P19">
        <v>6.91</v>
      </c>
      <c r="Q19">
        <v>2.153</v>
      </c>
      <c r="R19">
        <v>5.8559999999999999</v>
      </c>
      <c r="S19">
        <v>4.9390000000000001</v>
      </c>
      <c r="T19">
        <v>7.6239999999999997</v>
      </c>
      <c r="U19">
        <v>5.7279999999999998</v>
      </c>
      <c r="V19">
        <v>5.7160000000000002</v>
      </c>
      <c r="W19">
        <v>6.3330000000000002</v>
      </c>
      <c r="X19">
        <v>6.7290000000000001</v>
      </c>
      <c r="Y19">
        <v>7.2590000000000003</v>
      </c>
      <c r="Z19">
        <v>2.4009999999999998</v>
      </c>
      <c r="AA19">
        <v>7.8360000000000003</v>
      </c>
      <c r="AB19">
        <v>6.4859999999999998</v>
      </c>
      <c r="AC19">
        <v>5.6020000000000003</v>
      </c>
      <c r="AD19">
        <v>5.5949999999999998</v>
      </c>
      <c r="AE19">
        <v>6.92</v>
      </c>
      <c r="AF19">
        <v>5.6760000000000002</v>
      </c>
      <c r="AG19">
        <v>4.673</v>
      </c>
      <c r="AH19">
        <v>1.7649999999999999</v>
      </c>
      <c r="AI19">
        <v>4.4290000000000003</v>
      </c>
      <c r="AJ19">
        <v>5.85</v>
      </c>
      <c r="AK19">
        <v>6.7750000000000004</v>
      </c>
      <c r="AL19">
        <v>6.2919999999999998</v>
      </c>
      <c r="AM19">
        <v>6.7670000000000003</v>
      </c>
      <c r="AN19">
        <v>7.2889999999999997</v>
      </c>
      <c r="AO19">
        <v>6.24</v>
      </c>
      <c r="AP19">
        <v>5.8109999999999999</v>
      </c>
      <c r="AQ19">
        <v>6.4189999999999996</v>
      </c>
      <c r="AR19">
        <v>5.734</v>
      </c>
      <c r="AS19">
        <v>7.2389999999999999</v>
      </c>
      <c r="AT19">
        <v>5.62</v>
      </c>
      <c r="AU19">
        <v>5.1669999999999998</v>
      </c>
      <c r="AV19">
        <v>5.6970000000000001</v>
      </c>
      <c r="AW19">
        <v>6.867</v>
      </c>
      <c r="AX19">
        <v>6.9169999999999998</v>
      </c>
      <c r="AY19">
        <v>6.2279999999999998</v>
      </c>
      <c r="AZ19">
        <v>2.1280000000000001</v>
      </c>
      <c r="BA19">
        <v>5.984</v>
      </c>
      <c r="BB19">
        <v>1.9059999999999999</v>
      </c>
      <c r="BC19">
        <v>5.01</v>
      </c>
      <c r="BD19">
        <v>5.673</v>
      </c>
      <c r="BE19">
        <v>6.4169999999999998</v>
      </c>
      <c r="BF19">
        <v>6.6920000000000002</v>
      </c>
      <c r="BG19">
        <v>1.244</v>
      </c>
      <c r="BH19">
        <v>0.51500000000000001</v>
      </c>
      <c r="BI19">
        <v>6.0529999999999999</v>
      </c>
      <c r="BJ19">
        <v>6.8550000000000004</v>
      </c>
      <c r="BK19">
        <v>6.2450000000000001</v>
      </c>
      <c r="BL19">
        <v>6.6159999999999997</v>
      </c>
      <c r="BM19">
        <v>4.968</v>
      </c>
      <c r="BN19">
        <v>6.4989999999999997</v>
      </c>
      <c r="BO19">
        <v>6.7530000000000001</v>
      </c>
      <c r="BP19">
        <v>6.4809999999999999</v>
      </c>
      <c r="BQ19">
        <v>3.113</v>
      </c>
      <c r="BR19">
        <v>6.468</v>
      </c>
      <c r="BS19">
        <v>6.1609999999999996</v>
      </c>
      <c r="BT19">
        <v>1.8280000000000001</v>
      </c>
      <c r="BU19">
        <v>0.81200000000000006</v>
      </c>
      <c r="BV19">
        <v>5.6420000000000003</v>
      </c>
      <c r="BW19">
        <v>7.2130000000000001</v>
      </c>
      <c r="BX19">
        <v>-1.0589999999999999</v>
      </c>
      <c r="BY19">
        <v>6.3620000000000001</v>
      </c>
      <c r="BZ19">
        <v>5.5709999999999997</v>
      </c>
      <c r="CA19">
        <v>6.5250000000000004</v>
      </c>
      <c r="CB19">
        <v>5.2750000000000004</v>
      </c>
      <c r="CC19">
        <v>5.7359999999999998</v>
      </c>
      <c r="CD19">
        <v>6.4240000000000004</v>
      </c>
      <c r="CE19">
        <v>5.2480000000000002</v>
      </c>
      <c r="CF19">
        <v>6.9740000000000002</v>
      </c>
      <c r="CG19">
        <v>5.5759999999999996</v>
      </c>
      <c r="CH19">
        <v>5.3179999999999996</v>
      </c>
      <c r="CI19">
        <v>4.6719999999999997</v>
      </c>
      <c r="CJ19">
        <v>6.7430000000000003</v>
      </c>
      <c r="CK19">
        <v>6.4249999999999998</v>
      </c>
      <c r="CL19">
        <v>6.9930000000000003</v>
      </c>
      <c r="CM19">
        <v>7.6059999999999999</v>
      </c>
      <c r="CN19">
        <v>6.851</v>
      </c>
      <c r="CO19">
        <v>6.83</v>
      </c>
      <c r="CP19">
        <v>1.7030000000000001</v>
      </c>
      <c r="CQ19">
        <v>2.7490000000000001</v>
      </c>
      <c r="CR19">
        <v>7.008</v>
      </c>
      <c r="CS19">
        <v>6.149</v>
      </c>
      <c r="CT19">
        <v>2.0840000000000001</v>
      </c>
      <c r="CU19">
        <v>7.4130000000000003</v>
      </c>
      <c r="CV19">
        <v>-0.45900000000000002</v>
      </c>
      <c r="CW19">
        <v>6.3250000000000002</v>
      </c>
      <c r="CX19">
        <v>6.7380000000000004</v>
      </c>
      <c r="CY19">
        <v>5.4340000000000002</v>
      </c>
      <c r="CZ19">
        <v>6.8650000000000002</v>
      </c>
      <c r="DA19">
        <v>6.4649999999999999</v>
      </c>
      <c r="DB19">
        <v>6.8689999999999998</v>
      </c>
      <c r="DC19">
        <v>6.117</v>
      </c>
      <c r="DD19">
        <v>5.9219999999999997</v>
      </c>
      <c r="DE19">
        <v>-0.20799999999999999</v>
      </c>
      <c r="DF19">
        <v>6.2469999999999999</v>
      </c>
      <c r="DG19">
        <v>6.5</v>
      </c>
      <c r="DH19">
        <v>6.3639999999999999</v>
      </c>
      <c r="DI19">
        <v>4.8369999999999997</v>
      </c>
      <c r="DJ19">
        <v>4.1539999999999999</v>
      </c>
      <c r="DK19">
        <v>7.5659999999999998</v>
      </c>
      <c r="DL19">
        <v>5.8460000000000001</v>
      </c>
      <c r="DM19">
        <v>6.6109999999999998</v>
      </c>
      <c r="DN19">
        <v>6.7</v>
      </c>
      <c r="DO19">
        <v>7.0039999999999996</v>
      </c>
      <c r="DP19">
        <v>6.6749999999999998</v>
      </c>
      <c r="DQ19">
        <v>0.95599999999999996</v>
      </c>
      <c r="DR19">
        <v>7.5140000000000002</v>
      </c>
      <c r="DS19">
        <v>6.8479999999999999</v>
      </c>
      <c r="DT19">
        <v>6.452</v>
      </c>
      <c r="DU19">
        <v>7.2279999999999998</v>
      </c>
      <c r="DV19">
        <v>5.867</v>
      </c>
      <c r="DW19">
        <v>6.5830000000000002</v>
      </c>
      <c r="DX19">
        <v>5.0750000000000002</v>
      </c>
      <c r="DY19">
        <v>6.0179999999999998</v>
      </c>
      <c r="DZ19">
        <v>6.1509999999999998</v>
      </c>
      <c r="EA19">
        <v>6.9530000000000003</v>
      </c>
      <c r="EB19">
        <v>6.5629999999999997</v>
      </c>
      <c r="EC19">
        <v>6.5119999999999996</v>
      </c>
      <c r="ED19">
        <v>6.1760000000000002</v>
      </c>
      <c r="EE19">
        <v>7.26</v>
      </c>
      <c r="EF19">
        <v>5.6589999999999998</v>
      </c>
      <c r="EG19">
        <v>4.3719999999999999</v>
      </c>
      <c r="EH19">
        <v>7.8170000000000002</v>
      </c>
      <c r="EI19">
        <v>5.6109999999999998</v>
      </c>
      <c r="EJ19">
        <v>2.754</v>
      </c>
      <c r="EK19">
        <v>7.5830000000000002</v>
      </c>
      <c r="EL19">
        <v>2.2959999999999998</v>
      </c>
      <c r="EM19">
        <v>6.6639999999999997</v>
      </c>
      <c r="EN19">
        <v>6.2119999999999997</v>
      </c>
      <c r="EO19">
        <v>7.7130000000000001</v>
      </c>
      <c r="EP19">
        <v>3.8109999999999999</v>
      </c>
      <c r="EQ19">
        <v>1.288</v>
      </c>
      <c r="ER19">
        <v>6.7169999999999996</v>
      </c>
      <c r="ES19">
        <v>6.0410000000000004</v>
      </c>
      <c r="ET19">
        <v>6.5730000000000004</v>
      </c>
      <c r="EU19">
        <v>6.5309999999999997</v>
      </c>
      <c r="EV19">
        <v>5.2869999999999999</v>
      </c>
      <c r="EW19">
        <v>6.5140000000000002</v>
      </c>
      <c r="EX19">
        <v>6.24</v>
      </c>
      <c r="EY19">
        <v>5.2110000000000003</v>
      </c>
      <c r="EZ19">
        <v>6.2430000000000003</v>
      </c>
      <c r="FA19">
        <v>6.8869999999999996</v>
      </c>
      <c r="FB19">
        <v>7.734</v>
      </c>
      <c r="FC19">
        <v>7.41</v>
      </c>
      <c r="FD19">
        <v>7.032</v>
      </c>
      <c r="FE19">
        <v>6.0359999999999996</v>
      </c>
      <c r="FF19">
        <v>5.8209999999999997</v>
      </c>
      <c r="FG19">
        <v>4.8680000000000003</v>
      </c>
      <c r="FH19">
        <v>4.0259999999999998</v>
      </c>
      <c r="FI19">
        <v>7.069</v>
      </c>
      <c r="FJ19">
        <v>5.9720000000000004</v>
      </c>
      <c r="FK19">
        <v>1.6890000000000001</v>
      </c>
      <c r="FL19">
        <v>7.157</v>
      </c>
      <c r="FM19">
        <v>6.577</v>
      </c>
      <c r="FN19">
        <v>6.8639999999999999</v>
      </c>
      <c r="FO19">
        <v>5.92</v>
      </c>
      <c r="FP19">
        <v>5.5060000000000002</v>
      </c>
      <c r="FQ19">
        <v>5.27</v>
      </c>
      <c r="FR19">
        <v>6.5030000000000001</v>
      </c>
      <c r="FS19">
        <v>4.9039999999999999</v>
      </c>
      <c r="FT19">
        <v>6.5650000000000004</v>
      </c>
      <c r="FU19">
        <v>6.0839999999999996</v>
      </c>
      <c r="FV19">
        <v>7.4</v>
      </c>
      <c r="FW19">
        <v>7.008</v>
      </c>
      <c r="FX19">
        <v>1.2969999999999999</v>
      </c>
      <c r="FY19">
        <v>6.6920000000000002</v>
      </c>
      <c r="FZ19">
        <v>2.8860000000000001</v>
      </c>
      <c r="GA19">
        <v>-1.1619999999999999</v>
      </c>
      <c r="GB19">
        <v>3.4670000000000001</v>
      </c>
      <c r="GC19">
        <v>6.7839999999999998</v>
      </c>
      <c r="GD19">
        <v>4.7610000000000001</v>
      </c>
      <c r="GE19">
        <v>6.0090000000000003</v>
      </c>
      <c r="GF19">
        <v>6.9509999999999996</v>
      </c>
      <c r="GG19">
        <v>6.0940000000000003</v>
      </c>
      <c r="GH19">
        <v>6.4409999999999998</v>
      </c>
      <c r="GI19">
        <v>6.9320000000000004</v>
      </c>
      <c r="GJ19">
        <v>7.093</v>
      </c>
      <c r="GK19">
        <v>6.04</v>
      </c>
      <c r="GL19">
        <v>3.24</v>
      </c>
      <c r="GM19">
        <v>5.98</v>
      </c>
      <c r="GN19">
        <v>7.0990000000000002</v>
      </c>
      <c r="GO19">
        <v>6.056</v>
      </c>
      <c r="GP19">
        <v>5.7880000000000003</v>
      </c>
      <c r="GQ19">
        <v>5.9820000000000002</v>
      </c>
      <c r="GR19">
        <v>3.5470000000000002</v>
      </c>
      <c r="GS19">
        <v>6.7960000000000003</v>
      </c>
      <c r="GT19">
        <v>7.117</v>
      </c>
      <c r="GU19">
        <v>1.113</v>
      </c>
      <c r="GV19">
        <v>6.6929999999999996</v>
      </c>
      <c r="GW19">
        <v>7.6740000000000004</v>
      </c>
      <c r="GX19">
        <v>6.5229999999999997</v>
      </c>
      <c r="GY19">
        <v>6.9160000000000004</v>
      </c>
      <c r="GZ19">
        <v>7.0709999999999997</v>
      </c>
      <c r="HA19">
        <v>5.5940000000000003</v>
      </c>
      <c r="HB19">
        <v>0.495</v>
      </c>
      <c r="HC19">
        <v>1.0629999999999999</v>
      </c>
      <c r="HD19">
        <v>6.5330000000000004</v>
      </c>
      <c r="HE19">
        <v>6.5839999999999996</v>
      </c>
      <c r="HF19">
        <v>2.1040000000000001</v>
      </c>
      <c r="HG19">
        <v>7.0720000000000001</v>
      </c>
      <c r="HH19">
        <v>5.0529999999999999</v>
      </c>
      <c r="HI19">
        <v>5.4390000000000001</v>
      </c>
      <c r="HJ19">
        <v>6.3769999999999998</v>
      </c>
      <c r="HK19">
        <v>7.1120000000000001</v>
      </c>
      <c r="HL19">
        <v>7.1219999999999999</v>
      </c>
      <c r="HM19">
        <v>2.508</v>
      </c>
      <c r="HN19">
        <v>5.601</v>
      </c>
      <c r="HO19">
        <v>2.4329999999999998</v>
      </c>
      <c r="HP19">
        <v>6.641</v>
      </c>
      <c r="HQ19">
        <v>6.08</v>
      </c>
      <c r="HR19">
        <v>2.036</v>
      </c>
      <c r="HS19">
        <v>1.3640000000000001</v>
      </c>
      <c r="HT19">
        <v>5.7329999999999997</v>
      </c>
      <c r="HU19">
        <v>5.5380000000000003</v>
      </c>
      <c r="HV19">
        <v>5.6289999999999996</v>
      </c>
      <c r="HW19">
        <v>7.1779999999999999</v>
      </c>
      <c r="HX19">
        <v>6.6180000000000003</v>
      </c>
      <c r="HY19">
        <v>7.141</v>
      </c>
      <c r="HZ19">
        <v>6.4429999999999996</v>
      </c>
      <c r="IA19">
        <v>6.5339999999999998</v>
      </c>
      <c r="IB19">
        <v>6.1189999999999998</v>
      </c>
      <c r="IC19">
        <v>5.923</v>
      </c>
      <c r="ID19">
        <v>4.7919999999999998</v>
      </c>
      <c r="IE19">
        <v>6.4029999999999996</v>
      </c>
      <c r="IF19">
        <v>6.9160000000000004</v>
      </c>
      <c r="IG19">
        <v>7.0039999999999996</v>
      </c>
      <c r="IH19">
        <v>5.3109999999999999</v>
      </c>
      <c r="II19">
        <v>7.0540000000000003</v>
      </c>
      <c r="IJ19">
        <v>5.51</v>
      </c>
      <c r="IK19">
        <v>6.2750000000000004</v>
      </c>
      <c r="IL19">
        <v>7.0380000000000003</v>
      </c>
      <c r="IM19">
        <v>6.875</v>
      </c>
      <c r="IN19">
        <v>6.2279999999999998</v>
      </c>
      <c r="IO19">
        <v>6.681</v>
      </c>
      <c r="IP19">
        <v>6.6159999999999997</v>
      </c>
      <c r="IQ19">
        <v>0.13500000000000001</v>
      </c>
      <c r="IR19">
        <v>6.03</v>
      </c>
      <c r="IS19">
        <v>6.2530000000000001</v>
      </c>
      <c r="IT19">
        <v>6.734</v>
      </c>
      <c r="IU19">
        <v>5.5419999999999998</v>
      </c>
      <c r="IV19">
        <v>5.1719999999999997</v>
      </c>
      <c r="IW19">
        <v>3.6859999999999999</v>
      </c>
      <c r="IX19">
        <v>6.41</v>
      </c>
      <c r="IY19">
        <v>6.601</v>
      </c>
      <c r="IZ19">
        <v>6.306</v>
      </c>
      <c r="JA19">
        <v>6.702</v>
      </c>
      <c r="JB19">
        <v>5.5730000000000004</v>
      </c>
      <c r="JC19">
        <v>7.2389999999999999</v>
      </c>
      <c r="JD19">
        <v>6.0720000000000001</v>
      </c>
      <c r="JE19">
        <v>4.4770000000000003</v>
      </c>
      <c r="JF19">
        <v>6.3769999999999998</v>
      </c>
      <c r="JG19">
        <v>6.5419999999999998</v>
      </c>
      <c r="JH19">
        <v>6.0259999999999998</v>
      </c>
      <c r="JI19">
        <v>1.4710000000000001</v>
      </c>
      <c r="JJ19">
        <v>6.7469999999999999</v>
      </c>
      <c r="JK19">
        <v>2.915</v>
      </c>
      <c r="JL19">
        <v>6.9089999999999998</v>
      </c>
      <c r="JM19">
        <v>6.1470000000000002</v>
      </c>
      <c r="JN19">
        <v>5.819</v>
      </c>
      <c r="JO19">
        <v>6.9</v>
      </c>
      <c r="JP19">
        <v>3.2930000000000001</v>
      </c>
      <c r="JQ19">
        <v>6.7069999999999999</v>
      </c>
      <c r="JR19">
        <v>5.8390000000000004</v>
      </c>
      <c r="JS19">
        <v>7.7359999999999998</v>
      </c>
      <c r="JT19">
        <v>6.8029999999999999</v>
      </c>
      <c r="JU19">
        <v>6.2859999999999996</v>
      </c>
      <c r="JV19">
        <v>6.0780000000000003</v>
      </c>
      <c r="JW19">
        <v>6.8280000000000003</v>
      </c>
      <c r="JX19">
        <v>6.3789999999999996</v>
      </c>
      <c r="JY19">
        <v>3.3090000000000002</v>
      </c>
      <c r="JZ19">
        <v>1.165</v>
      </c>
      <c r="KA19">
        <v>5.3330000000000002</v>
      </c>
      <c r="KB19">
        <v>6.1360000000000001</v>
      </c>
      <c r="KC19">
        <v>6.641</v>
      </c>
      <c r="KD19">
        <v>5.82</v>
      </c>
      <c r="KE19">
        <v>3.3340000000000001</v>
      </c>
      <c r="KF19">
        <v>2.7829999999999999</v>
      </c>
      <c r="KG19">
        <v>6.6459999999999999</v>
      </c>
      <c r="KH19">
        <v>7.1109999999999998</v>
      </c>
      <c r="KI19">
        <v>6.407</v>
      </c>
      <c r="KJ19">
        <v>6.8019999999999996</v>
      </c>
      <c r="KK19">
        <v>6.0650000000000004</v>
      </c>
      <c r="KL19">
        <v>4.282</v>
      </c>
      <c r="KM19">
        <v>2.0830000000000002</v>
      </c>
      <c r="KN19">
        <v>6.6680000000000001</v>
      </c>
      <c r="KO19">
        <v>5.6449999999999996</v>
      </c>
      <c r="KP19">
        <v>3.839</v>
      </c>
      <c r="KQ19">
        <v>2.3180000000000001</v>
      </c>
      <c r="KR19">
        <v>2.1280000000000001</v>
      </c>
    </row>
    <row r="20" spans="1:309" x14ac:dyDescent="0.25">
      <c r="A20">
        <v>2015</v>
      </c>
      <c r="B20">
        <v>5</v>
      </c>
      <c r="C20">
        <v>3.069</v>
      </c>
      <c r="D20">
        <v>8.9689999999999994</v>
      </c>
      <c r="E20">
        <v>9.5760000000000005</v>
      </c>
      <c r="F20">
        <v>9.0820000000000007</v>
      </c>
      <c r="G20">
        <v>8.7829999999999995</v>
      </c>
      <c r="H20">
        <v>9.3930000000000007</v>
      </c>
      <c r="I20">
        <v>4.157</v>
      </c>
      <c r="J20">
        <v>4.5190000000000001</v>
      </c>
      <c r="K20">
        <v>8.3650000000000002</v>
      </c>
      <c r="L20">
        <v>8.4670000000000005</v>
      </c>
      <c r="M20">
        <v>8.4830000000000005</v>
      </c>
      <c r="N20">
        <v>8.3940000000000001</v>
      </c>
      <c r="O20">
        <v>6.4290000000000003</v>
      </c>
      <c r="P20">
        <v>9.923</v>
      </c>
      <c r="Q20">
        <v>5.8780000000000001</v>
      </c>
      <c r="R20">
        <v>8.8889999999999993</v>
      </c>
      <c r="S20">
        <v>8.2360000000000007</v>
      </c>
      <c r="T20">
        <v>10.593</v>
      </c>
      <c r="U20">
        <v>8.0690000000000008</v>
      </c>
      <c r="V20">
        <v>8.56</v>
      </c>
      <c r="W20">
        <v>9.1609999999999996</v>
      </c>
      <c r="X20">
        <v>9.48</v>
      </c>
      <c r="Y20">
        <v>10.093</v>
      </c>
      <c r="Z20">
        <v>6.2270000000000003</v>
      </c>
      <c r="AA20">
        <v>10.855</v>
      </c>
      <c r="AB20">
        <v>9.9160000000000004</v>
      </c>
      <c r="AC20">
        <v>8.1289999999999996</v>
      </c>
      <c r="AD20">
        <v>8.2550000000000008</v>
      </c>
      <c r="AE20">
        <v>10.012</v>
      </c>
      <c r="AF20">
        <v>8.2989999999999995</v>
      </c>
      <c r="AG20">
        <v>8.0259999999999998</v>
      </c>
      <c r="AH20">
        <v>5.83</v>
      </c>
      <c r="AI20">
        <v>7.6890000000000001</v>
      </c>
      <c r="AJ20">
        <v>8.1050000000000004</v>
      </c>
      <c r="AK20">
        <v>9.2170000000000005</v>
      </c>
      <c r="AL20">
        <v>9.2140000000000004</v>
      </c>
      <c r="AM20">
        <v>9.5030000000000001</v>
      </c>
      <c r="AN20">
        <v>10.256</v>
      </c>
      <c r="AO20">
        <v>9.2690000000000001</v>
      </c>
      <c r="AP20">
        <v>8.2620000000000005</v>
      </c>
      <c r="AQ20">
        <v>9.8450000000000006</v>
      </c>
      <c r="AR20">
        <v>8.3870000000000005</v>
      </c>
      <c r="AS20">
        <v>10.436999999999999</v>
      </c>
      <c r="AT20">
        <v>8.343</v>
      </c>
      <c r="AU20">
        <v>7.8029999999999999</v>
      </c>
      <c r="AV20">
        <v>8.7479999999999993</v>
      </c>
      <c r="AW20">
        <v>9.3740000000000006</v>
      </c>
      <c r="AX20">
        <v>9.5150000000000006</v>
      </c>
      <c r="AY20">
        <v>8.5239999999999991</v>
      </c>
      <c r="AZ20">
        <v>6.0789999999999997</v>
      </c>
      <c r="BA20">
        <v>8.7059999999999995</v>
      </c>
      <c r="BB20">
        <v>5.5640000000000001</v>
      </c>
      <c r="BC20">
        <v>7.4509999999999996</v>
      </c>
      <c r="BD20">
        <v>8.4239999999999995</v>
      </c>
      <c r="BE20">
        <v>9.4179999999999993</v>
      </c>
      <c r="BF20">
        <v>9.4190000000000005</v>
      </c>
      <c r="BG20">
        <v>5.3650000000000002</v>
      </c>
      <c r="BH20">
        <v>4.42</v>
      </c>
      <c r="BI20">
        <v>8.827</v>
      </c>
      <c r="BJ20">
        <v>9.9359999999999999</v>
      </c>
      <c r="BK20">
        <v>9.0830000000000002</v>
      </c>
      <c r="BL20">
        <v>9.6739999999999995</v>
      </c>
      <c r="BM20">
        <v>7.7309999999999999</v>
      </c>
      <c r="BN20">
        <v>9.0289999999999999</v>
      </c>
      <c r="BO20">
        <v>9.1270000000000007</v>
      </c>
      <c r="BP20">
        <v>10.019</v>
      </c>
      <c r="BQ20">
        <v>6.7969999999999997</v>
      </c>
      <c r="BR20">
        <v>9.0109999999999992</v>
      </c>
      <c r="BS20">
        <v>8.9039999999999999</v>
      </c>
      <c r="BT20">
        <v>6.0579999999999998</v>
      </c>
      <c r="BU20">
        <v>4.327</v>
      </c>
      <c r="BV20">
        <v>8.2620000000000005</v>
      </c>
      <c r="BW20">
        <v>10.289</v>
      </c>
      <c r="BX20">
        <v>2.5550000000000002</v>
      </c>
      <c r="BY20">
        <v>9.5440000000000005</v>
      </c>
      <c r="BZ20">
        <v>8.8960000000000008</v>
      </c>
      <c r="CA20">
        <v>8.9049999999999994</v>
      </c>
      <c r="CB20">
        <v>7.9790000000000001</v>
      </c>
      <c r="CC20">
        <v>8.8059999999999992</v>
      </c>
      <c r="CD20">
        <v>9.3360000000000003</v>
      </c>
      <c r="CE20">
        <v>8.282</v>
      </c>
      <c r="CF20">
        <v>9.1869999999999994</v>
      </c>
      <c r="CG20">
        <v>8.8330000000000002</v>
      </c>
      <c r="CH20">
        <v>7.8620000000000001</v>
      </c>
      <c r="CI20">
        <v>7.3230000000000004</v>
      </c>
      <c r="CJ20">
        <v>9.4830000000000005</v>
      </c>
      <c r="CK20">
        <v>9.2629999999999999</v>
      </c>
      <c r="CL20">
        <v>10.403</v>
      </c>
      <c r="CM20">
        <v>9.7539999999999996</v>
      </c>
      <c r="CN20">
        <v>9.6359999999999992</v>
      </c>
      <c r="CO20">
        <v>9.6780000000000008</v>
      </c>
      <c r="CP20">
        <v>5.6840000000000002</v>
      </c>
      <c r="CQ20">
        <v>6.7610000000000001</v>
      </c>
      <c r="CR20">
        <v>9.9359999999999999</v>
      </c>
      <c r="CS20">
        <v>8.3040000000000003</v>
      </c>
      <c r="CT20">
        <v>6.1020000000000003</v>
      </c>
      <c r="CU20">
        <v>10.144</v>
      </c>
      <c r="CV20">
        <v>4.1740000000000004</v>
      </c>
      <c r="CW20">
        <v>8.6389999999999993</v>
      </c>
      <c r="CX20">
        <v>9.7590000000000003</v>
      </c>
      <c r="CY20">
        <v>8.1020000000000003</v>
      </c>
      <c r="CZ20">
        <v>9.9819999999999993</v>
      </c>
      <c r="DA20">
        <v>8.907</v>
      </c>
      <c r="DB20">
        <v>9.5190000000000001</v>
      </c>
      <c r="DC20">
        <v>8.5399999999999991</v>
      </c>
      <c r="DD20">
        <v>9.1020000000000003</v>
      </c>
      <c r="DE20">
        <v>3.8380000000000001</v>
      </c>
      <c r="DF20">
        <v>8.7789999999999999</v>
      </c>
      <c r="DG20">
        <v>9.5879999999999992</v>
      </c>
      <c r="DH20">
        <v>9.4269999999999996</v>
      </c>
      <c r="DI20">
        <v>7.2960000000000003</v>
      </c>
      <c r="DJ20">
        <v>7.5919999999999996</v>
      </c>
      <c r="DK20">
        <v>10.364000000000001</v>
      </c>
      <c r="DL20">
        <v>8.6780000000000008</v>
      </c>
      <c r="DM20">
        <v>9.2210000000000001</v>
      </c>
      <c r="DN20">
        <v>9.6850000000000005</v>
      </c>
      <c r="DO20">
        <v>9.4510000000000005</v>
      </c>
      <c r="DP20">
        <v>9.7560000000000002</v>
      </c>
      <c r="DQ20">
        <v>4.6130000000000004</v>
      </c>
      <c r="DR20">
        <v>10.609</v>
      </c>
      <c r="DS20">
        <v>9.2870000000000008</v>
      </c>
      <c r="DT20">
        <v>9.94</v>
      </c>
      <c r="DU20">
        <v>10.467000000000001</v>
      </c>
      <c r="DV20">
        <v>8.7609999999999992</v>
      </c>
      <c r="DW20">
        <v>8.92</v>
      </c>
      <c r="DX20">
        <v>7.6890000000000001</v>
      </c>
      <c r="DY20">
        <v>9.1449999999999996</v>
      </c>
      <c r="DZ20">
        <v>8.8829999999999991</v>
      </c>
      <c r="EA20">
        <v>10.034000000000001</v>
      </c>
      <c r="EB20">
        <v>9.3919999999999995</v>
      </c>
      <c r="EC20">
        <v>9.2759999999999998</v>
      </c>
      <c r="ED20">
        <v>8.3930000000000007</v>
      </c>
      <c r="EE20">
        <v>9.6609999999999996</v>
      </c>
      <c r="EF20">
        <v>8.4960000000000004</v>
      </c>
      <c r="EG20">
        <v>7.94</v>
      </c>
      <c r="EH20">
        <v>10.87</v>
      </c>
      <c r="EI20">
        <v>7.8310000000000004</v>
      </c>
      <c r="EJ20">
        <v>6.6390000000000002</v>
      </c>
      <c r="EK20">
        <v>10.675000000000001</v>
      </c>
      <c r="EL20">
        <v>6.5170000000000003</v>
      </c>
      <c r="EM20">
        <v>9.593</v>
      </c>
      <c r="EN20">
        <v>8.5980000000000008</v>
      </c>
      <c r="EO20">
        <v>10.784000000000001</v>
      </c>
      <c r="EP20">
        <v>6.6760000000000002</v>
      </c>
      <c r="EQ20">
        <v>5.2009999999999996</v>
      </c>
      <c r="ER20">
        <v>9.3559999999999999</v>
      </c>
      <c r="ES20">
        <v>9.0990000000000002</v>
      </c>
      <c r="ET20">
        <v>9.0570000000000004</v>
      </c>
      <c r="EU20">
        <v>9.1310000000000002</v>
      </c>
      <c r="EV20">
        <v>8.0359999999999996</v>
      </c>
      <c r="EW20">
        <v>9.0830000000000002</v>
      </c>
      <c r="EX20">
        <v>9.1300000000000008</v>
      </c>
      <c r="EY20">
        <v>7.7619999999999996</v>
      </c>
      <c r="EZ20">
        <v>9.2720000000000002</v>
      </c>
      <c r="FA20">
        <v>9.7370000000000001</v>
      </c>
      <c r="FB20">
        <v>10.429</v>
      </c>
      <c r="FC20">
        <v>10.468</v>
      </c>
      <c r="FD20">
        <v>10.065</v>
      </c>
      <c r="FE20">
        <v>8.1259999999999994</v>
      </c>
      <c r="FF20">
        <v>8.0470000000000006</v>
      </c>
      <c r="FG20">
        <v>7.984</v>
      </c>
      <c r="FH20">
        <v>7.008</v>
      </c>
      <c r="FI20">
        <v>9.6839999999999993</v>
      </c>
      <c r="FJ20">
        <v>9.1709999999999994</v>
      </c>
      <c r="FK20">
        <v>5.8049999999999997</v>
      </c>
      <c r="FL20">
        <v>9.6920000000000002</v>
      </c>
      <c r="FM20">
        <v>9.4870000000000001</v>
      </c>
      <c r="FN20">
        <v>9.5690000000000008</v>
      </c>
      <c r="FO20">
        <v>8.5850000000000009</v>
      </c>
      <c r="FP20">
        <v>7.7249999999999996</v>
      </c>
      <c r="FQ20">
        <v>8.2509999999999994</v>
      </c>
      <c r="FR20">
        <v>9.3239999999999998</v>
      </c>
      <c r="FS20">
        <v>7.78</v>
      </c>
      <c r="FT20">
        <v>9.3889999999999993</v>
      </c>
      <c r="FU20">
        <v>9.1379999999999999</v>
      </c>
      <c r="FV20">
        <v>10.06</v>
      </c>
      <c r="FW20">
        <v>9.8350000000000009</v>
      </c>
      <c r="FX20">
        <v>5.69</v>
      </c>
      <c r="FY20">
        <v>9.5399999999999991</v>
      </c>
      <c r="FZ20">
        <v>6.9749999999999996</v>
      </c>
      <c r="GA20">
        <v>2.96</v>
      </c>
      <c r="GB20">
        <v>7.2530000000000001</v>
      </c>
      <c r="GC20">
        <v>9.8079999999999998</v>
      </c>
      <c r="GD20">
        <v>7.5650000000000004</v>
      </c>
      <c r="GE20">
        <v>8.77</v>
      </c>
      <c r="GF20">
        <v>9.7759999999999998</v>
      </c>
      <c r="GG20">
        <v>8.7119999999999997</v>
      </c>
      <c r="GH20">
        <v>9.6180000000000003</v>
      </c>
      <c r="GI20">
        <v>9.718</v>
      </c>
      <c r="GJ20">
        <v>9.9169999999999998</v>
      </c>
      <c r="GK20">
        <v>8.8800000000000008</v>
      </c>
      <c r="GL20">
        <v>7.4080000000000004</v>
      </c>
      <c r="GM20">
        <v>8.1920000000000002</v>
      </c>
      <c r="GN20">
        <v>9.9120000000000008</v>
      </c>
      <c r="GO20">
        <v>8.7769999999999992</v>
      </c>
      <c r="GP20">
        <v>8.5329999999999995</v>
      </c>
      <c r="GQ20">
        <v>8.0939999999999994</v>
      </c>
      <c r="GR20">
        <v>7.4939999999999998</v>
      </c>
      <c r="GS20">
        <v>9.8279999999999994</v>
      </c>
      <c r="GT20">
        <v>10.111000000000001</v>
      </c>
      <c r="GU20">
        <v>4.774</v>
      </c>
      <c r="GV20">
        <v>9.52</v>
      </c>
      <c r="GW20">
        <v>10.598000000000001</v>
      </c>
      <c r="GX20">
        <v>9.4689999999999994</v>
      </c>
      <c r="GY20">
        <v>9.9139999999999997</v>
      </c>
      <c r="GZ20">
        <v>10.053000000000001</v>
      </c>
      <c r="HA20">
        <v>8.1180000000000003</v>
      </c>
      <c r="HB20">
        <v>3.794</v>
      </c>
      <c r="HC20">
        <v>4.8710000000000004</v>
      </c>
      <c r="HD20">
        <v>9.6229999999999993</v>
      </c>
      <c r="HE20">
        <v>9.1720000000000006</v>
      </c>
      <c r="HF20">
        <v>5.7270000000000003</v>
      </c>
      <c r="HG20">
        <v>10.015000000000001</v>
      </c>
      <c r="HH20">
        <v>7.8570000000000002</v>
      </c>
      <c r="HI20">
        <v>7.9409999999999998</v>
      </c>
      <c r="HJ20">
        <v>8.8480000000000008</v>
      </c>
      <c r="HK20">
        <v>10.103</v>
      </c>
      <c r="HL20">
        <v>10.201000000000001</v>
      </c>
      <c r="HM20">
        <v>6.133</v>
      </c>
      <c r="HN20">
        <v>8.5030000000000001</v>
      </c>
      <c r="HO20">
        <v>6.0119999999999996</v>
      </c>
      <c r="HP20">
        <v>9.4369999999999994</v>
      </c>
      <c r="HQ20">
        <v>8.7620000000000005</v>
      </c>
      <c r="HR20">
        <v>4.6820000000000004</v>
      </c>
      <c r="HS20">
        <v>5.0250000000000004</v>
      </c>
      <c r="HT20">
        <v>8.1669999999999998</v>
      </c>
      <c r="HU20">
        <v>7.9889999999999999</v>
      </c>
      <c r="HV20">
        <v>8.3320000000000007</v>
      </c>
      <c r="HW20">
        <v>9.8230000000000004</v>
      </c>
      <c r="HX20">
        <v>9.5180000000000007</v>
      </c>
      <c r="HY20">
        <v>10.065</v>
      </c>
      <c r="HZ20">
        <v>8.9619999999999997</v>
      </c>
      <c r="IA20">
        <v>9.0299999999999994</v>
      </c>
      <c r="IB20">
        <v>8.4949999999999992</v>
      </c>
      <c r="IC20">
        <v>8.7560000000000002</v>
      </c>
      <c r="ID20">
        <v>7.7519999999999998</v>
      </c>
      <c r="IE20">
        <v>9.0470000000000006</v>
      </c>
      <c r="IF20">
        <v>9.7810000000000006</v>
      </c>
      <c r="IG20">
        <v>9.8040000000000003</v>
      </c>
      <c r="IH20">
        <v>7.7779999999999996</v>
      </c>
      <c r="II20">
        <v>10.064</v>
      </c>
      <c r="IJ20">
        <v>8.3290000000000006</v>
      </c>
      <c r="IK20">
        <v>8.4380000000000006</v>
      </c>
      <c r="IL20">
        <v>10.272</v>
      </c>
      <c r="IM20">
        <v>9.4570000000000007</v>
      </c>
      <c r="IN20">
        <v>9.2620000000000005</v>
      </c>
      <c r="IO20">
        <v>9.6020000000000003</v>
      </c>
      <c r="IP20">
        <v>9.8219999999999992</v>
      </c>
      <c r="IQ20">
        <v>3.508</v>
      </c>
      <c r="IR20">
        <v>8.702</v>
      </c>
      <c r="IS20">
        <v>9.0329999999999995</v>
      </c>
      <c r="IT20">
        <v>9.3680000000000003</v>
      </c>
      <c r="IU20">
        <v>8.7629999999999999</v>
      </c>
      <c r="IV20">
        <v>8.016</v>
      </c>
      <c r="IW20">
        <v>7.1520000000000001</v>
      </c>
      <c r="IX20">
        <v>9.5579999999999998</v>
      </c>
      <c r="IY20">
        <v>9.7409999999999997</v>
      </c>
      <c r="IZ20">
        <v>9.359</v>
      </c>
      <c r="JA20">
        <v>9.3089999999999993</v>
      </c>
      <c r="JB20">
        <v>7.992</v>
      </c>
      <c r="JC20">
        <v>9.91</v>
      </c>
      <c r="JD20">
        <v>9.4019999999999992</v>
      </c>
      <c r="JE20">
        <v>7.1820000000000004</v>
      </c>
      <c r="JF20">
        <v>9.3360000000000003</v>
      </c>
      <c r="JG20">
        <v>9.8170000000000002</v>
      </c>
      <c r="JH20">
        <v>8.3209999999999997</v>
      </c>
      <c r="JI20">
        <v>5.569</v>
      </c>
      <c r="JJ20">
        <v>9.0920000000000005</v>
      </c>
      <c r="JK20">
        <v>6.7539999999999996</v>
      </c>
      <c r="JL20">
        <v>9.5060000000000002</v>
      </c>
      <c r="JM20">
        <v>9.5860000000000003</v>
      </c>
      <c r="JN20">
        <v>8.9700000000000006</v>
      </c>
      <c r="JO20">
        <v>9.4559999999999995</v>
      </c>
      <c r="JP20">
        <v>6.843</v>
      </c>
      <c r="JQ20">
        <v>9.7140000000000004</v>
      </c>
      <c r="JR20">
        <v>8.4260000000000002</v>
      </c>
      <c r="JS20">
        <v>10.438000000000001</v>
      </c>
      <c r="JT20">
        <v>9.3149999999999995</v>
      </c>
      <c r="JU20">
        <v>8.84</v>
      </c>
      <c r="JV20">
        <v>8.2430000000000003</v>
      </c>
      <c r="JW20">
        <v>9.9369999999999994</v>
      </c>
      <c r="JX20">
        <v>8.84</v>
      </c>
      <c r="JY20">
        <v>7.0359999999999996</v>
      </c>
      <c r="JZ20">
        <v>4.6779999999999999</v>
      </c>
      <c r="KA20">
        <v>7.9269999999999996</v>
      </c>
      <c r="KB20">
        <v>8.5399999999999991</v>
      </c>
      <c r="KC20">
        <v>9.3230000000000004</v>
      </c>
      <c r="KD20">
        <v>8.7260000000000009</v>
      </c>
      <c r="KE20">
        <v>6.633</v>
      </c>
      <c r="KF20">
        <v>7.024</v>
      </c>
      <c r="KG20">
        <v>9.9060000000000006</v>
      </c>
      <c r="KH20">
        <v>9.9339999999999993</v>
      </c>
      <c r="KI20">
        <v>8.9420000000000002</v>
      </c>
      <c r="KJ20">
        <v>9.2509999999999994</v>
      </c>
      <c r="KK20">
        <v>9.2810000000000006</v>
      </c>
      <c r="KL20">
        <v>7.1879999999999997</v>
      </c>
      <c r="KM20">
        <v>5.8090000000000002</v>
      </c>
      <c r="KN20">
        <v>9.8689999999999998</v>
      </c>
      <c r="KO20">
        <v>8.8800000000000008</v>
      </c>
      <c r="KP20">
        <v>6.9020000000000001</v>
      </c>
      <c r="KQ20">
        <v>6.5570000000000004</v>
      </c>
      <c r="KR20">
        <v>6.64</v>
      </c>
    </row>
    <row r="21" spans="1:309" x14ac:dyDescent="0.25">
      <c r="A21">
        <v>2015</v>
      </c>
      <c r="B21">
        <v>6</v>
      </c>
      <c r="C21">
        <v>6.2990000000000004</v>
      </c>
      <c r="D21">
        <v>13.577999999999999</v>
      </c>
      <c r="E21">
        <v>12.946</v>
      </c>
      <c r="F21">
        <v>12.366</v>
      </c>
      <c r="G21">
        <v>12.89</v>
      </c>
      <c r="H21">
        <v>13.944000000000001</v>
      </c>
      <c r="I21">
        <v>8.7319999999999993</v>
      </c>
      <c r="J21">
        <v>9.048</v>
      </c>
      <c r="K21">
        <v>12.977</v>
      </c>
      <c r="L21">
        <v>12.837999999999999</v>
      </c>
      <c r="M21">
        <v>13.131</v>
      </c>
      <c r="N21">
        <v>12.914999999999999</v>
      </c>
      <c r="O21">
        <v>10.776999999999999</v>
      </c>
      <c r="P21">
        <v>13.308999999999999</v>
      </c>
      <c r="Q21">
        <v>11.583</v>
      </c>
      <c r="R21">
        <v>12.567</v>
      </c>
      <c r="S21">
        <v>12.218</v>
      </c>
      <c r="T21">
        <v>14.952999999999999</v>
      </c>
      <c r="U21">
        <v>12.518000000000001</v>
      </c>
      <c r="V21">
        <v>12.098000000000001</v>
      </c>
      <c r="W21">
        <v>13.683</v>
      </c>
      <c r="X21">
        <v>13.138999999999999</v>
      </c>
      <c r="Y21">
        <v>13.741</v>
      </c>
      <c r="Z21">
        <v>10.076000000000001</v>
      </c>
      <c r="AA21">
        <v>14.082000000000001</v>
      </c>
      <c r="AB21">
        <v>13.231999999999999</v>
      </c>
      <c r="AC21">
        <v>13.22</v>
      </c>
      <c r="AD21">
        <v>12.904</v>
      </c>
      <c r="AE21">
        <v>14.478</v>
      </c>
      <c r="AF21">
        <v>12.813000000000001</v>
      </c>
      <c r="AG21">
        <v>11.992000000000001</v>
      </c>
      <c r="AH21">
        <v>9.7789999999999999</v>
      </c>
      <c r="AI21">
        <v>11.502000000000001</v>
      </c>
      <c r="AJ21">
        <v>12.587999999999999</v>
      </c>
      <c r="AK21">
        <v>13.262</v>
      </c>
      <c r="AL21">
        <v>13.763</v>
      </c>
      <c r="AM21">
        <v>14.016</v>
      </c>
      <c r="AN21">
        <v>13.510999999999999</v>
      </c>
      <c r="AO21">
        <v>12.786</v>
      </c>
      <c r="AP21">
        <v>12.933999999999999</v>
      </c>
      <c r="AQ21">
        <v>13.195</v>
      </c>
      <c r="AR21">
        <v>12.314</v>
      </c>
      <c r="AS21">
        <v>13.569000000000001</v>
      </c>
      <c r="AT21">
        <v>12.824999999999999</v>
      </c>
      <c r="AU21">
        <v>12.416</v>
      </c>
      <c r="AV21">
        <v>12.717000000000001</v>
      </c>
      <c r="AW21">
        <v>13.667999999999999</v>
      </c>
      <c r="AX21">
        <v>13.923999999999999</v>
      </c>
      <c r="AY21">
        <v>13.340999999999999</v>
      </c>
      <c r="AZ21">
        <v>9.94</v>
      </c>
      <c r="BA21">
        <v>12.597</v>
      </c>
      <c r="BB21">
        <v>9.1530000000000005</v>
      </c>
      <c r="BC21">
        <v>11.936</v>
      </c>
      <c r="BD21">
        <v>12.358000000000001</v>
      </c>
      <c r="BE21">
        <v>13.893000000000001</v>
      </c>
      <c r="BF21">
        <v>13.161</v>
      </c>
      <c r="BG21">
        <v>9.4990000000000006</v>
      </c>
      <c r="BH21">
        <v>9.1940000000000008</v>
      </c>
      <c r="BI21">
        <v>12.662000000000001</v>
      </c>
      <c r="BJ21">
        <v>13.281000000000001</v>
      </c>
      <c r="BK21">
        <v>12.878</v>
      </c>
      <c r="BL21">
        <v>14.353</v>
      </c>
      <c r="BM21">
        <v>12.506</v>
      </c>
      <c r="BN21">
        <v>13.452999999999999</v>
      </c>
      <c r="BO21">
        <v>13.813000000000001</v>
      </c>
      <c r="BP21">
        <v>13.148</v>
      </c>
      <c r="BQ21">
        <v>10.785</v>
      </c>
      <c r="BR21">
        <v>13.992000000000001</v>
      </c>
      <c r="BS21">
        <v>13.34</v>
      </c>
      <c r="BT21">
        <v>11.33</v>
      </c>
      <c r="BU21">
        <v>8.5299999999999994</v>
      </c>
      <c r="BV21">
        <v>12.78</v>
      </c>
      <c r="BW21">
        <v>13.659000000000001</v>
      </c>
      <c r="BX21">
        <v>5.8</v>
      </c>
      <c r="BY21">
        <v>13.567</v>
      </c>
      <c r="BZ21">
        <v>12.481</v>
      </c>
      <c r="CA21">
        <v>12.839</v>
      </c>
      <c r="CB21">
        <v>12.462999999999999</v>
      </c>
      <c r="CC21">
        <v>12.954000000000001</v>
      </c>
      <c r="CD21">
        <v>13.848000000000001</v>
      </c>
      <c r="CE21">
        <v>12.387</v>
      </c>
      <c r="CF21">
        <v>13.688000000000001</v>
      </c>
      <c r="CG21">
        <v>12.365</v>
      </c>
      <c r="CH21">
        <v>12.423999999999999</v>
      </c>
      <c r="CI21">
        <v>11.927</v>
      </c>
      <c r="CJ21">
        <v>12.872</v>
      </c>
      <c r="CK21">
        <v>12.993</v>
      </c>
      <c r="CL21">
        <v>13.779</v>
      </c>
      <c r="CM21">
        <v>14.144</v>
      </c>
      <c r="CN21">
        <v>13.093</v>
      </c>
      <c r="CO21">
        <v>13.138999999999999</v>
      </c>
      <c r="CP21">
        <v>10.377000000000001</v>
      </c>
      <c r="CQ21">
        <v>10.92</v>
      </c>
      <c r="CR21">
        <v>14.487</v>
      </c>
      <c r="CS21">
        <v>12.789</v>
      </c>
      <c r="CT21">
        <v>11.371</v>
      </c>
      <c r="CU21">
        <v>14.481999999999999</v>
      </c>
      <c r="CV21">
        <v>8.7880000000000003</v>
      </c>
      <c r="CW21">
        <v>12.829000000000001</v>
      </c>
      <c r="CX21">
        <v>13.137</v>
      </c>
      <c r="CY21">
        <v>12.747</v>
      </c>
      <c r="CZ21">
        <v>13.725</v>
      </c>
      <c r="DA21">
        <v>13.853999999999999</v>
      </c>
      <c r="DB21">
        <v>13.968999999999999</v>
      </c>
      <c r="DC21">
        <v>13.285</v>
      </c>
      <c r="DD21">
        <v>12.597</v>
      </c>
      <c r="DE21">
        <v>8.3320000000000007</v>
      </c>
      <c r="DF21">
        <v>13.321</v>
      </c>
      <c r="DG21">
        <v>12.992000000000001</v>
      </c>
      <c r="DH21">
        <v>13.845000000000001</v>
      </c>
      <c r="DI21">
        <v>11.972</v>
      </c>
      <c r="DJ21">
        <v>11.708</v>
      </c>
      <c r="DK21">
        <v>13.989000000000001</v>
      </c>
      <c r="DL21">
        <v>13.236000000000001</v>
      </c>
      <c r="DM21">
        <v>13.65</v>
      </c>
      <c r="DN21">
        <v>13.032999999999999</v>
      </c>
      <c r="DO21">
        <v>14.077999999999999</v>
      </c>
      <c r="DP21">
        <v>13.141999999999999</v>
      </c>
      <c r="DQ21">
        <v>8.4030000000000005</v>
      </c>
      <c r="DR21">
        <v>13.872999999999999</v>
      </c>
      <c r="DS21">
        <v>13.941000000000001</v>
      </c>
      <c r="DT21">
        <v>13.045</v>
      </c>
      <c r="DU21">
        <v>13.706</v>
      </c>
      <c r="DV21">
        <v>13.073</v>
      </c>
      <c r="DW21">
        <v>13.451000000000001</v>
      </c>
      <c r="DX21">
        <v>12.209</v>
      </c>
      <c r="DY21">
        <v>12.52</v>
      </c>
      <c r="DZ21">
        <v>12.962</v>
      </c>
      <c r="EA21">
        <v>14.532</v>
      </c>
      <c r="EB21">
        <v>13.34</v>
      </c>
      <c r="EC21">
        <v>12.811</v>
      </c>
      <c r="ED21">
        <v>13.11</v>
      </c>
      <c r="EE21">
        <v>13.922000000000001</v>
      </c>
      <c r="EF21">
        <v>12.474</v>
      </c>
      <c r="EG21">
        <v>11.667</v>
      </c>
      <c r="EH21">
        <v>14.09</v>
      </c>
      <c r="EI21">
        <v>12.616</v>
      </c>
      <c r="EJ21">
        <v>11.695</v>
      </c>
      <c r="EK21">
        <v>13.891</v>
      </c>
      <c r="EL21">
        <v>10.448</v>
      </c>
      <c r="EM21">
        <v>13.157</v>
      </c>
      <c r="EN21">
        <v>13.209</v>
      </c>
      <c r="EO21">
        <v>13.999000000000001</v>
      </c>
      <c r="EP21">
        <v>11.69</v>
      </c>
      <c r="EQ21">
        <v>9.3940000000000001</v>
      </c>
      <c r="ER21">
        <v>13.589</v>
      </c>
      <c r="ES21">
        <v>12.62</v>
      </c>
      <c r="ET21">
        <v>13.385999999999999</v>
      </c>
      <c r="EU21">
        <v>13.262</v>
      </c>
      <c r="EV21">
        <v>12.617000000000001</v>
      </c>
      <c r="EW21">
        <v>13.208</v>
      </c>
      <c r="EX21">
        <v>12.949</v>
      </c>
      <c r="EY21">
        <v>12.646000000000001</v>
      </c>
      <c r="EZ21">
        <v>13.548999999999999</v>
      </c>
      <c r="FA21">
        <v>13.109</v>
      </c>
      <c r="FB21">
        <v>14.925000000000001</v>
      </c>
      <c r="FC21">
        <v>14.522</v>
      </c>
      <c r="FD21">
        <v>14.536</v>
      </c>
      <c r="FE21">
        <v>12.837999999999999</v>
      </c>
      <c r="FF21">
        <v>12.643000000000001</v>
      </c>
      <c r="FG21">
        <v>11.942</v>
      </c>
      <c r="FH21">
        <v>11.827999999999999</v>
      </c>
      <c r="FI21">
        <v>13.954000000000001</v>
      </c>
      <c r="FJ21">
        <v>13.256</v>
      </c>
      <c r="FK21">
        <v>9.7420000000000009</v>
      </c>
      <c r="FL21">
        <v>13.862</v>
      </c>
      <c r="FM21">
        <v>14.01</v>
      </c>
      <c r="FN21">
        <v>13.839</v>
      </c>
      <c r="FO21">
        <v>12.159000000000001</v>
      </c>
      <c r="FP21">
        <v>12.141999999999999</v>
      </c>
      <c r="FQ21">
        <v>12.396000000000001</v>
      </c>
      <c r="FR21">
        <v>12.98</v>
      </c>
      <c r="FS21">
        <v>12.115</v>
      </c>
      <c r="FT21">
        <v>13.083</v>
      </c>
      <c r="FU21">
        <v>12.785</v>
      </c>
      <c r="FV21">
        <v>14.6</v>
      </c>
      <c r="FW21">
        <v>14.278</v>
      </c>
      <c r="FX21">
        <v>10.364000000000001</v>
      </c>
      <c r="FY21">
        <v>12.956</v>
      </c>
      <c r="FZ21">
        <v>11.717000000000001</v>
      </c>
      <c r="GA21">
        <v>6.3520000000000003</v>
      </c>
      <c r="GB21">
        <v>11.622999999999999</v>
      </c>
      <c r="GC21">
        <v>13.446</v>
      </c>
      <c r="GD21">
        <v>11.884</v>
      </c>
      <c r="GE21">
        <v>13.368</v>
      </c>
      <c r="GF21">
        <v>14.374000000000001</v>
      </c>
      <c r="GG21">
        <v>12.872999999999999</v>
      </c>
      <c r="GH21">
        <v>14.202999999999999</v>
      </c>
      <c r="GI21">
        <v>13.291</v>
      </c>
      <c r="GJ21">
        <v>13.205</v>
      </c>
      <c r="GK21">
        <v>12.565</v>
      </c>
      <c r="GL21">
        <v>11.577</v>
      </c>
      <c r="GM21">
        <v>13.000999999999999</v>
      </c>
      <c r="GN21">
        <v>13.304</v>
      </c>
      <c r="GO21">
        <v>12.644</v>
      </c>
      <c r="GP21">
        <v>12.619</v>
      </c>
      <c r="GQ21">
        <v>12.797000000000001</v>
      </c>
      <c r="GR21">
        <v>11.692</v>
      </c>
      <c r="GS21">
        <v>14.343999999999999</v>
      </c>
      <c r="GT21">
        <v>14.579000000000001</v>
      </c>
      <c r="GU21">
        <v>9.5009999999999994</v>
      </c>
      <c r="GV21">
        <v>13.199</v>
      </c>
      <c r="GW21">
        <v>13.827</v>
      </c>
      <c r="GX21">
        <v>13.117000000000001</v>
      </c>
      <c r="GY21">
        <v>14.401999999999999</v>
      </c>
      <c r="GZ21">
        <v>14.529</v>
      </c>
      <c r="HA21">
        <v>12.699</v>
      </c>
      <c r="HB21">
        <v>6.6820000000000004</v>
      </c>
      <c r="HC21">
        <v>9.6159999999999997</v>
      </c>
      <c r="HD21">
        <v>14.334</v>
      </c>
      <c r="HE21">
        <v>13.635999999999999</v>
      </c>
      <c r="HF21">
        <v>9.6760000000000002</v>
      </c>
      <c r="HG21">
        <v>14.493</v>
      </c>
      <c r="HH21">
        <v>12.173999999999999</v>
      </c>
      <c r="HI21">
        <v>12.994</v>
      </c>
      <c r="HJ21">
        <v>13.645</v>
      </c>
      <c r="HK21">
        <v>13.429</v>
      </c>
      <c r="HL21">
        <v>13.47</v>
      </c>
      <c r="HM21">
        <v>10.262</v>
      </c>
      <c r="HN21">
        <v>12.382</v>
      </c>
      <c r="HO21">
        <v>9.9779999999999998</v>
      </c>
      <c r="HP21">
        <v>13.401</v>
      </c>
      <c r="HQ21">
        <v>13.646000000000001</v>
      </c>
      <c r="HR21">
        <v>10.53</v>
      </c>
      <c r="HS21">
        <v>9.9130000000000003</v>
      </c>
      <c r="HT21">
        <v>12.741</v>
      </c>
      <c r="HU21">
        <v>12.305</v>
      </c>
      <c r="HV21">
        <v>12.41</v>
      </c>
      <c r="HW21">
        <v>13.88</v>
      </c>
      <c r="HX21">
        <v>14.042</v>
      </c>
      <c r="HY21">
        <v>13.608000000000001</v>
      </c>
      <c r="HZ21">
        <v>13.289</v>
      </c>
      <c r="IA21">
        <v>13.077999999999999</v>
      </c>
      <c r="IB21">
        <v>12.689</v>
      </c>
      <c r="IC21">
        <v>12.663</v>
      </c>
      <c r="ID21">
        <v>11.855</v>
      </c>
      <c r="IE21">
        <v>12.948</v>
      </c>
      <c r="IF21">
        <v>13.141999999999999</v>
      </c>
      <c r="IG21">
        <v>13.225</v>
      </c>
      <c r="IH21">
        <v>13.278</v>
      </c>
      <c r="II21">
        <v>14.121</v>
      </c>
      <c r="IJ21">
        <v>12.356</v>
      </c>
      <c r="IK21">
        <v>13.048</v>
      </c>
      <c r="IL21">
        <v>13.388</v>
      </c>
      <c r="IM21">
        <v>13.17</v>
      </c>
      <c r="IN21">
        <v>13.683</v>
      </c>
      <c r="IO21">
        <v>14.113</v>
      </c>
      <c r="IP21">
        <v>14.284000000000001</v>
      </c>
      <c r="IQ21">
        <v>7.2080000000000002</v>
      </c>
      <c r="IR21">
        <v>13.132</v>
      </c>
      <c r="IS21">
        <v>13.115</v>
      </c>
      <c r="IT21">
        <v>13.143000000000001</v>
      </c>
      <c r="IU21">
        <v>12.121</v>
      </c>
      <c r="IV21">
        <v>11.693</v>
      </c>
      <c r="IW21">
        <v>11.689</v>
      </c>
      <c r="IX21">
        <v>14.241</v>
      </c>
      <c r="IY21">
        <v>14.266999999999999</v>
      </c>
      <c r="IZ21">
        <v>13.734</v>
      </c>
      <c r="JA21">
        <v>13.44</v>
      </c>
      <c r="JB21">
        <v>12.449</v>
      </c>
      <c r="JC21">
        <v>14.16</v>
      </c>
      <c r="JD21">
        <v>13.666</v>
      </c>
      <c r="JE21">
        <v>11.858000000000001</v>
      </c>
      <c r="JF21">
        <v>13.003</v>
      </c>
      <c r="JG21">
        <v>13.048</v>
      </c>
      <c r="JH21">
        <v>12.791</v>
      </c>
      <c r="JI21">
        <v>9.6820000000000004</v>
      </c>
      <c r="JJ21">
        <v>13.54</v>
      </c>
      <c r="JK21">
        <v>10.587</v>
      </c>
      <c r="JL21">
        <v>14.009</v>
      </c>
      <c r="JM21">
        <v>13.629</v>
      </c>
      <c r="JN21">
        <v>12.462</v>
      </c>
      <c r="JO21">
        <v>13.321</v>
      </c>
      <c r="JP21">
        <v>11.148999999999999</v>
      </c>
      <c r="JQ21">
        <v>14.247</v>
      </c>
      <c r="JR21">
        <v>12.526</v>
      </c>
      <c r="JS21">
        <v>14.295</v>
      </c>
      <c r="JT21">
        <v>14.010999999999999</v>
      </c>
      <c r="JU21">
        <v>13.071999999999999</v>
      </c>
      <c r="JV21">
        <v>12.743</v>
      </c>
      <c r="JW21">
        <v>13.364000000000001</v>
      </c>
      <c r="JX21">
        <v>13.52</v>
      </c>
      <c r="JY21">
        <v>10.563000000000001</v>
      </c>
      <c r="JZ21">
        <v>8.1929999999999996</v>
      </c>
      <c r="KA21">
        <v>12.782999999999999</v>
      </c>
      <c r="KB21">
        <v>12.842000000000001</v>
      </c>
      <c r="KC21">
        <v>13.590999999999999</v>
      </c>
      <c r="KD21">
        <v>12.585000000000001</v>
      </c>
      <c r="KE21">
        <v>11.244999999999999</v>
      </c>
      <c r="KF21">
        <v>11.298</v>
      </c>
      <c r="KG21">
        <v>13.337999999999999</v>
      </c>
      <c r="KH21">
        <v>13.227</v>
      </c>
      <c r="KI21">
        <v>13.135999999999999</v>
      </c>
      <c r="KJ21">
        <v>13.843</v>
      </c>
      <c r="KK21">
        <v>12.737</v>
      </c>
      <c r="KL21">
        <v>11.712</v>
      </c>
      <c r="KM21">
        <v>9.4809999999999999</v>
      </c>
      <c r="KN21">
        <v>14.438000000000001</v>
      </c>
      <c r="KO21">
        <v>12.795</v>
      </c>
      <c r="KP21">
        <v>12.333</v>
      </c>
      <c r="KQ21">
        <v>11.358000000000001</v>
      </c>
      <c r="KR21">
        <v>11.321</v>
      </c>
    </row>
    <row r="22" spans="1:309" x14ac:dyDescent="0.25">
      <c r="A22">
        <v>2015</v>
      </c>
      <c r="B22">
        <v>7</v>
      </c>
      <c r="C22">
        <v>10.699</v>
      </c>
      <c r="D22">
        <v>16.292000000000002</v>
      </c>
      <c r="E22">
        <v>15.617000000000001</v>
      </c>
      <c r="F22">
        <v>15.006</v>
      </c>
      <c r="G22">
        <v>15.542999999999999</v>
      </c>
      <c r="H22">
        <v>16.420999999999999</v>
      </c>
      <c r="I22">
        <v>12.054</v>
      </c>
      <c r="J22">
        <v>12.295</v>
      </c>
      <c r="K22">
        <v>15.307</v>
      </c>
      <c r="L22">
        <v>15.363</v>
      </c>
      <c r="M22">
        <v>15.717000000000001</v>
      </c>
      <c r="N22">
        <v>15.031000000000001</v>
      </c>
      <c r="O22">
        <v>13.851000000000001</v>
      </c>
      <c r="P22">
        <v>16.395</v>
      </c>
      <c r="Q22">
        <v>14.391999999999999</v>
      </c>
      <c r="R22">
        <v>15.391</v>
      </c>
      <c r="S22">
        <v>14.862</v>
      </c>
      <c r="T22">
        <v>17.225000000000001</v>
      </c>
      <c r="U22">
        <v>15.042999999999999</v>
      </c>
      <c r="V22">
        <v>14.872</v>
      </c>
      <c r="W22">
        <v>16.059999999999999</v>
      </c>
      <c r="X22">
        <v>15.872999999999999</v>
      </c>
      <c r="Y22">
        <v>16.382000000000001</v>
      </c>
      <c r="Z22">
        <v>12.646000000000001</v>
      </c>
      <c r="AA22">
        <v>17.175000000000001</v>
      </c>
      <c r="AB22">
        <v>16.379000000000001</v>
      </c>
      <c r="AC22">
        <v>15.456</v>
      </c>
      <c r="AD22">
        <v>14.981</v>
      </c>
      <c r="AE22">
        <v>16.93</v>
      </c>
      <c r="AF22">
        <v>15.286</v>
      </c>
      <c r="AG22">
        <v>14.736000000000001</v>
      </c>
      <c r="AH22">
        <v>12.79</v>
      </c>
      <c r="AI22">
        <v>14.138999999999999</v>
      </c>
      <c r="AJ22">
        <v>15.173</v>
      </c>
      <c r="AK22">
        <v>15.792</v>
      </c>
      <c r="AL22">
        <v>16.202000000000002</v>
      </c>
      <c r="AM22">
        <v>16.440000000000001</v>
      </c>
      <c r="AN22">
        <v>16.501999999999999</v>
      </c>
      <c r="AO22">
        <v>15.404999999999999</v>
      </c>
      <c r="AP22">
        <v>15.443</v>
      </c>
      <c r="AQ22">
        <v>16.379000000000001</v>
      </c>
      <c r="AR22">
        <v>15.022</v>
      </c>
      <c r="AS22">
        <v>16.503</v>
      </c>
      <c r="AT22">
        <v>15.462999999999999</v>
      </c>
      <c r="AU22">
        <v>14.894</v>
      </c>
      <c r="AV22">
        <v>15.561999999999999</v>
      </c>
      <c r="AW22">
        <v>16.265000000000001</v>
      </c>
      <c r="AX22">
        <v>16.352</v>
      </c>
      <c r="AY22">
        <v>15.707000000000001</v>
      </c>
      <c r="AZ22">
        <v>13.111000000000001</v>
      </c>
      <c r="BA22">
        <v>14.914</v>
      </c>
      <c r="BB22">
        <v>12.166</v>
      </c>
      <c r="BC22">
        <v>14.305</v>
      </c>
      <c r="BD22">
        <v>15.272</v>
      </c>
      <c r="BE22">
        <v>16.256</v>
      </c>
      <c r="BF22">
        <v>15.628</v>
      </c>
      <c r="BG22">
        <v>12.651999999999999</v>
      </c>
      <c r="BH22">
        <v>12.145</v>
      </c>
      <c r="BI22">
        <v>15.526</v>
      </c>
      <c r="BJ22">
        <v>16.268999999999998</v>
      </c>
      <c r="BK22">
        <v>15.401999999999999</v>
      </c>
      <c r="BL22">
        <v>16.797000000000001</v>
      </c>
      <c r="BM22">
        <v>14.922000000000001</v>
      </c>
      <c r="BN22">
        <v>15.877000000000001</v>
      </c>
      <c r="BO22">
        <v>16.222000000000001</v>
      </c>
      <c r="BP22">
        <v>16.312999999999999</v>
      </c>
      <c r="BQ22">
        <v>13.428000000000001</v>
      </c>
      <c r="BR22">
        <v>16.216000000000001</v>
      </c>
      <c r="BS22">
        <v>15.829000000000001</v>
      </c>
      <c r="BT22">
        <v>14.377000000000001</v>
      </c>
      <c r="BU22">
        <v>11.265000000000001</v>
      </c>
      <c r="BV22">
        <v>15.407999999999999</v>
      </c>
      <c r="BW22">
        <v>16.704999999999998</v>
      </c>
      <c r="BX22">
        <v>9.59</v>
      </c>
      <c r="BY22">
        <v>16.434000000000001</v>
      </c>
      <c r="BZ22">
        <v>15.196</v>
      </c>
      <c r="CA22">
        <v>15.548999999999999</v>
      </c>
      <c r="CB22">
        <v>15.2</v>
      </c>
      <c r="CC22">
        <v>15.397</v>
      </c>
      <c r="CD22">
        <v>16.295000000000002</v>
      </c>
      <c r="CE22">
        <v>15.347</v>
      </c>
      <c r="CF22">
        <v>16.036999999999999</v>
      </c>
      <c r="CG22">
        <v>15.326000000000001</v>
      </c>
      <c r="CH22">
        <v>14.968</v>
      </c>
      <c r="CI22">
        <v>15.036</v>
      </c>
      <c r="CJ22">
        <v>15.795999999999999</v>
      </c>
      <c r="CK22">
        <v>15.757</v>
      </c>
      <c r="CL22">
        <v>16.861000000000001</v>
      </c>
      <c r="CM22">
        <v>16.353000000000002</v>
      </c>
      <c r="CN22">
        <v>16.05</v>
      </c>
      <c r="CO22">
        <v>16.114000000000001</v>
      </c>
      <c r="CP22">
        <v>13.372</v>
      </c>
      <c r="CQ22">
        <v>13.631</v>
      </c>
      <c r="CR22">
        <v>16.878</v>
      </c>
      <c r="CS22">
        <v>15.462</v>
      </c>
      <c r="CT22">
        <v>14.305</v>
      </c>
      <c r="CU22">
        <v>16.832999999999998</v>
      </c>
      <c r="CV22">
        <v>11.303000000000001</v>
      </c>
      <c r="CW22">
        <v>15.590999999999999</v>
      </c>
      <c r="CX22">
        <v>15.647</v>
      </c>
      <c r="CY22">
        <v>15.231</v>
      </c>
      <c r="CZ22">
        <v>16.593</v>
      </c>
      <c r="DA22">
        <v>16.04</v>
      </c>
      <c r="DB22">
        <v>16.411000000000001</v>
      </c>
      <c r="DC22">
        <v>15.632999999999999</v>
      </c>
      <c r="DD22">
        <v>15.509</v>
      </c>
      <c r="DE22">
        <v>11.452</v>
      </c>
      <c r="DF22">
        <v>15.959</v>
      </c>
      <c r="DG22">
        <v>15.993</v>
      </c>
      <c r="DH22">
        <v>16.454999999999998</v>
      </c>
      <c r="DI22">
        <v>14.505000000000001</v>
      </c>
      <c r="DJ22">
        <v>14.701000000000001</v>
      </c>
      <c r="DK22">
        <v>16.584</v>
      </c>
      <c r="DL22">
        <v>15.728999999999999</v>
      </c>
      <c r="DM22">
        <v>16.091999999999999</v>
      </c>
      <c r="DN22">
        <v>16.064</v>
      </c>
      <c r="DO22">
        <v>16.504000000000001</v>
      </c>
      <c r="DP22">
        <v>15.872</v>
      </c>
      <c r="DQ22">
        <v>11.868</v>
      </c>
      <c r="DR22">
        <v>16.89</v>
      </c>
      <c r="DS22">
        <v>16.361999999999998</v>
      </c>
      <c r="DT22">
        <v>16.088000000000001</v>
      </c>
      <c r="DU22">
        <v>16.707999999999998</v>
      </c>
      <c r="DV22">
        <v>15.4</v>
      </c>
      <c r="DW22">
        <v>15.882</v>
      </c>
      <c r="DX22">
        <v>14.561999999999999</v>
      </c>
      <c r="DY22">
        <v>15.27</v>
      </c>
      <c r="DZ22">
        <v>15.538</v>
      </c>
      <c r="EA22">
        <v>16.917999999999999</v>
      </c>
      <c r="EB22">
        <v>15.837999999999999</v>
      </c>
      <c r="EC22">
        <v>15.398</v>
      </c>
      <c r="ED22">
        <v>15.634</v>
      </c>
      <c r="EE22">
        <v>16.609000000000002</v>
      </c>
      <c r="EF22">
        <v>15.414999999999999</v>
      </c>
      <c r="EG22">
        <v>14.315</v>
      </c>
      <c r="EH22">
        <v>17.178000000000001</v>
      </c>
      <c r="EI22">
        <v>15.109</v>
      </c>
      <c r="EJ22">
        <v>14.622</v>
      </c>
      <c r="EK22">
        <v>16.920000000000002</v>
      </c>
      <c r="EL22">
        <v>13.654999999999999</v>
      </c>
      <c r="EM22">
        <v>15.568</v>
      </c>
      <c r="EN22">
        <v>15.879</v>
      </c>
      <c r="EO22">
        <v>17.082999999999998</v>
      </c>
      <c r="EP22">
        <v>13.942</v>
      </c>
      <c r="EQ22">
        <v>12.817</v>
      </c>
      <c r="ER22">
        <v>16.178000000000001</v>
      </c>
      <c r="ES22">
        <v>15.35</v>
      </c>
      <c r="ET22">
        <v>15.582000000000001</v>
      </c>
      <c r="EU22">
        <v>15.948</v>
      </c>
      <c r="EV22">
        <v>14.973000000000001</v>
      </c>
      <c r="EW22">
        <v>15.895</v>
      </c>
      <c r="EX22">
        <v>15.319000000000001</v>
      </c>
      <c r="EY22">
        <v>15.051</v>
      </c>
      <c r="EZ22">
        <v>16.151</v>
      </c>
      <c r="FA22">
        <v>16.091999999999999</v>
      </c>
      <c r="FB22">
        <v>17.004000000000001</v>
      </c>
      <c r="FC22">
        <v>16.809000000000001</v>
      </c>
      <c r="FD22">
        <v>17.021999999999998</v>
      </c>
      <c r="FE22">
        <v>15.385999999999999</v>
      </c>
      <c r="FF22">
        <v>15.172000000000001</v>
      </c>
      <c r="FG22">
        <v>14.917</v>
      </c>
      <c r="FH22">
        <v>14.797000000000001</v>
      </c>
      <c r="FI22">
        <v>16.494</v>
      </c>
      <c r="FJ22">
        <v>15.917</v>
      </c>
      <c r="FK22">
        <v>13.106</v>
      </c>
      <c r="FL22">
        <v>16.196999999999999</v>
      </c>
      <c r="FM22">
        <v>16.36</v>
      </c>
      <c r="FN22">
        <v>16.271999999999998</v>
      </c>
      <c r="FO22">
        <v>14.945</v>
      </c>
      <c r="FP22">
        <v>14.813000000000001</v>
      </c>
      <c r="FQ22">
        <v>15.073</v>
      </c>
      <c r="FR22">
        <v>15.606</v>
      </c>
      <c r="FS22">
        <v>14.487</v>
      </c>
      <c r="FT22">
        <v>15.648</v>
      </c>
      <c r="FU22">
        <v>15.492000000000001</v>
      </c>
      <c r="FV22">
        <v>16.731999999999999</v>
      </c>
      <c r="FW22">
        <v>16.504999999999999</v>
      </c>
      <c r="FX22">
        <v>12.492000000000001</v>
      </c>
      <c r="FY22">
        <v>15.788</v>
      </c>
      <c r="FZ22">
        <v>14.477</v>
      </c>
      <c r="GA22">
        <v>11.099</v>
      </c>
      <c r="GB22">
        <v>14.564</v>
      </c>
      <c r="GC22">
        <v>16.132000000000001</v>
      </c>
      <c r="GD22">
        <v>14.297000000000001</v>
      </c>
      <c r="GE22">
        <v>15.909000000000001</v>
      </c>
      <c r="GF22">
        <v>16.596</v>
      </c>
      <c r="GG22">
        <v>15.664999999999999</v>
      </c>
      <c r="GH22">
        <v>16.847999999999999</v>
      </c>
      <c r="GI22">
        <v>16.077999999999999</v>
      </c>
      <c r="GJ22">
        <v>16.167999999999999</v>
      </c>
      <c r="GK22">
        <v>15.148999999999999</v>
      </c>
      <c r="GL22">
        <v>14.452999999999999</v>
      </c>
      <c r="GM22">
        <v>15.430999999999999</v>
      </c>
      <c r="GN22">
        <v>16.308</v>
      </c>
      <c r="GO22">
        <v>15.648999999999999</v>
      </c>
      <c r="GP22">
        <v>15.228999999999999</v>
      </c>
      <c r="GQ22">
        <v>15.3</v>
      </c>
      <c r="GR22">
        <v>14.369</v>
      </c>
      <c r="GS22">
        <v>16.91</v>
      </c>
      <c r="GT22">
        <v>17.035</v>
      </c>
      <c r="GU22">
        <v>12.558</v>
      </c>
      <c r="GV22">
        <v>15.573</v>
      </c>
      <c r="GW22">
        <v>16.873000000000001</v>
      </c>
      <c r="GX22">
        <v>15.81</v>
      </c>
      <c r="GY22">
        <v>16.895</v>
      </c>
      <c r="GZ22">
        <v>16.952000000000002</v>
      </c>
      <c r="HA22">
        <v>15.169</v>
      </c>
      <c r="HB22">
        <v>10.205</v>
      </c>
      <c r="HC22">
        <v>12.75</v>
      </c>
      <c r="HD22">
        <v>16.661999999999999</v>
      </c>
      <c r="HE22">
        <v>15.75</v>
      </c>
      <c r="HF22">
        <v>12.49</v>
      </c>
      <c r="HG22">
        <v>16.925999999999998</v>
      </c>
      <c r="HH22">
        <v>15.21</v>
      </c>
      <c r="HI22">
        <v>15.343999999999999</v>
      </c>
      <c r="HJ22">
        <v>16.071000000000002</v>
      </c>
      <c r="HK22">
        <v>16.416</v>
      </c>
      <c r="HL22">
        <v>16.530999999999999</v>
      </c>
      <c r="HM22">
        <v>12.919</v>
      </c>
      <c r="HN22">
        <v>15.324999999999999</v>
      </c>
      <c r="HO22">
        <v>12.585000000000001</v>
      </c>
      <c r="HP22">
        <v>15.872999999999999</v>
      </c>
      <c r="HQ22">
        <v>15.874000000000001</v>
      </c>
      <c r="HR22">
        <v>13.343</v>
      </c>
      <c r="HS22">
        <v>13.093999999999999</v>
      </c>
      <c r="HT22">
        <v>15.303000000000001</v>
      </c>
      <c r="HU22">
        <v>15.038</v>
      </c>
      <c r="HV22">
        <v>15.353999999999999</v>
      </c>
      <c r="HW22">
        <v>16.420999999999999</v>
      </c>
      <c r="HX22">
        <v>16.391999999999999</v>
      </c>
      <c r="HY22">
        <v>16.254000000000001</v>
      </c>
      <c r="HZ22">
        <v>15.57</v>
      </c>
      <c r="IA22">
        <v>15.555</v>
      </c>
      <c r="IB22">
        <v>15.342000000000001</v>
      </c>
      <c r="IC22">
        <v>15.484</v>
      </c>
      <c r="ID22">
        <v>14.909000000000001</v>
      </c>
      <c r="IE22">
        <v>15.678000000000001</v>
      </c>
      <c r="IF22">
        <v>15.753</v>
      </c>
      <c r="IG22">
        <v>16.129000000000001</v>
      </c>
      <c r="IH22">
        <v>15.634</v>
      </c>
      <c r="II22">
        <v>16.734000000000002</v>
      </c>
      <c r="IJ22">
        <v>15.313000000000001</v>
      </c>
      <c r="IK22">
        <v>15.756</v>
      </c>
      <c r="IL22">
        <v>16.396000000000001</v>
      </c>
      <c r="IM22">
        <v>15.744</v>
      </c>
      <c r="IN22">
        <v>16.050999999999998</v>
      </c>
      <c r="IO22">
        <v>16.562000000000001</v>
      </c>
      <c r="IP22">
        <v>16.829999999999998</v>
      </c>
      <c r="IQ22">
        <v>10.379</v>
      </c>
      <c r="IR22">
        <v>15.794</v>
      </c>
      <c r="IS22">
        <v>15.571</v>
      </c>
      <c r="IT22">
        <v>15.766999999999999</v>
      </c>
      <c r="IU22">
        <v>15.244</v>
      </c>
      <c r="IV22">
        <v>14.515000000000001</v>
      </c>
      <c r="IW22">
        <v>14.677</v>
      </c>
      <c r="IX22">
        <v>16.803999999999998</v>
      </c>
      <c r="IY22">
        <v>16.91</v>
      </c>
      <c r="IZ22">
        <v>16.314</v>
      </c>
      <c r="JA22">
        <v>16.151</v>
      </c>
      <c r="JB22">
        <v>15.384</v>
      </c>
      <c r="JC22">
        <v>16.640999999999998</v>
      </c>
      <c r="JD22">
        <v>16.414999999999999</v>
      </c>
      <c r="JE22">
        <v>14.007</v>
      </c>
      <c r="JF22">
        <v>15.584</v>
      </c>
      <c r="JG22">
        <v>16.25</v>
      </c>
      <c r="JH22">
        <v>15.335000000000001</v>
      </c>
      <c r="JI22">
        <v>12.763999999999999</v>
      </c>
      <c r="JJ22">
        <v>16.007999999999999</v>
      </c>
      <c r="JK22">
        <v>13.744999999999999</v>
      </c>
      <c r="JL22">
        <v>16.373999999999999</v>
      </c>
      <c r="JM22">
        <v>16.535</v>
      </c>
      <c r="JN22">
        <v>15.199</v>
      </c>
      <c r="JO22">
        <v>15.853999999999999</v>
      </c>
      <c r="JP22">
        <v>14.146000000000001</v>
      </c>
      <c r="JQ22">
        <v>16.605</v>
      </c>
      <c r="JR22">
        <v>15.38</v>
      </c>
      <c r="JS22">
        <v>16.731999999999999</v>
      </c>
      <c r="JT22">
        <v>16.434000000000001</v>
      </c>
      <c r="JU22">
        <v>15.667</v>
      </c>
      <c r="JV22">
        <v>15.406000000000001</v>
      </c>
      <c r="JW22">
        <v>16.231999999999999</v>
      </c>
      <c r="JX22">
        <v>15.587999999999999</v>
      </c>
      <c r="JY22">
        <v>13.07</v>
      </c>
      <c r="JZ22">
        <v>11.427</v>
      </c>
      <c r="KA22">
        <v>14.872999999999999</v>
      </c>
      <c r="KB22">
        <v>15.337999999999999</v>
      </c>
      <c r="KC22">
        <v>16.239999999999998</v>
      </c>
      <c r="KD22">
        <v>15.500999999999999</v>
      </c>
      <c r="KE22">
        <v>13.945</v>
      </c>
      <c r="KF22">
        <v>14.07</v>
      </c>
      <c r="KG22">
        <v>16.486999999999998</v>
      </c>
      <c r="KH22">
        <v>15.964</v>
      </c>
      <c r="KI22">
        <v>15.992000000000001</v>
      </c>
      <c r="KJ22">
        <v>16.306000000000001</v>
      </c>
      <c r="KK22">
        <v>15.603999999999999</v>
      </c>
      <c r="KL22">
        <v>14.688000000000001</v>
      </c>
      <c r="KM22">
        <v>12.331</v>
      </c>
      <c r="KN22">
        <v>16.741</v>
      </c>
      <c r="KO22">
        <v>15.731</v>
      </c>
      <c r="KP22">
        <v>14.657999999999999</v>
      </c>
      <c r="KQ22">
        <v>13.972</v>
      </c>
      <c r="KR22">
        <v>13.803000000000001</v>
      </c>
    </row>
    <row r="23" spans="1:309" x14ac:dyDescent="0.25">
      <c r="A23">
        <v>2015</v>
      </c>
      <c r="B23">
        <v>8</v>
      </c>
      <c r="C23">
        <v>12.131</v>
      </c>
      <c r="D23">
        <v>17.117000000000001</v>
      </c>
      <c r="E23">
        <v>17.146999999999998</v>
      </c>
      <c r="F23">
        <v>16.449000000000002</v>
      </c>
      <c r="G23">
        <v>16.097000000000001</v>
      </c>
      <c r="H23">
        <v>16.445</v>
      </c>
      <c r="I23">
        <v>13.021000000000001</v>
      </c>
      <c r="J23">
        <v>13.449</v>
      </c>
      <c r="K23">
        <v>15.337</v>
      </c>
      <c r="L23">
        <v>15.677</v>
      </c>
      <c r="M23">
        <v>15.903</v>
      </c>
      <c r="N23">
        <v>15.596</v>
      </c>
      <c r="O23">
        <v>14.382999999999999</v>
      </c>
      <c r="P23">
        <v>17.716000000000001</v>
      </c>
      <c r="Q23">
        <v>14.997999999999999</v>
      </c>
      <c r="R23">
        <v>16.573</v>
      </c>
      <c r="S23">
        <v>15.06</v>
      </c>
      <c r="T23">
        <v>18.254999999999999</v>
      </c>
      <c r="U23">
        <v>15.332000000000001</v>
      </c>
      <c r="V23">
        <v>16.207000000000001</v>
      </c>
      <c r="W23">
        <v>16.420999999999999</v>
      </c>
      <c r="X23">
        <v>17.062999999999999</v>
      </c>
      <c r="Y23">
        <v>17.34</v>
      </c>
      <c r="Z23">
        <v>13.273</v>
      </c>
      <c r="AA23">
        <v>18.315999999999999</v>
      </c>
      <c r="AB23">
        <v>17.420000000000002</v>
      </c>
      <c r="AC23">
        <v>15.129</v>
      </c>
      <c r="AD23">
        <v>15.618</v>
      </c>
      <c r="AE23">
        <v>17.742999999999999</v>
      </c>
      <c r="AF23">
        <v>15.757</v>
      </c>
      <c r="AG23">
        <v>14.930999999999999</v>
      </c>
      <c r="AH23">
        <v>13.217000000000001</v>
      </c>
      <c r="AI23">
        <v>14.138999999999999</v>
      </c>
      <c r="AJ23">
        <v>15.614000000000001</v>
      </c>
      <c r="AK23">
        <v>16.440999999999999</v>
      </c>
      <c r="AL23">
        <v>16.518999999999998</v>
      </c>
      <c r="AM23">
        <v>16.497</v>
      </c>
      <c r="AN23">
        <v>17.815999999999999</v>
      </c>
      <c r="AO23">
        <v>16.515999999999998</v>
      </c>
      <c r="AP23">
        <v>15.632</v>
      </c>
      <c r="AQ23">
        <v>17.652999999999999</v>
      </c>
      <c r="AR23">
        <v>15.699</v>
      </c>
      <c r="AS23">
        <v>18.059000000000001</v>
      </c>
      <c r="AT23">
        <v>15.523</v>
      </c>
      <c r="AU23">
        <v>14.919</v>
      </c>
      <c r="AV23">
        <v>16.038</v>
      </c>
      <c r="AW23">
        <v>16.324000000000002</v>
      </c>
      <c r="AX23">
        <v>16.533999999999999</v>
      </c>
      <c r="AY23">
        <v>16.195</v>
      </c>
      <c r="AZ23">
        <v>13.888999999999999</v>
      </c>
      <c r="BA23">
        <v>15.864000000000001</v>
      </c>
      <c r="BB23">
        <v>13.314</v>
      </c>
      <c r="BC23">
        <v>14.766999999999999</v>
      </c>
      <c r="BD23">
        <v>16.09</v>
      </c>
      <c r="BE23">
        <v>16.734000000000002</v>
      </c>
      <c r="BF23">
        <v>16.460999999999999</v>
      </c>
      <c r="BG23">
        <v>13.074999999999999</v>
      </c>
      <c r="BH23">
        <v>13.092000000000001</v>
      </c>
      <c r="BI23">
        <v>16.109000000000002</v>
      </c>
      <c r="BJ23">
        <v>17.852</v>
      </c>
      <c r="BK23">
        <v>16.108000000000001</v>
      </c>
      <c r="BL23">
        <v>17.202999999999999</v>
      </c>
      <c r="BM23">
        <v>14.77</v>
      </c>
      <c r="BN23">
        <v>16.105</v>
      </c>
      <c r="BO23">
        <v>16.344000000000001</v>
      </c>
      <c r="BP23">
        <v>17.603999999999999</v>
      </c>
      <c r="BQ23">
        <v>13.733000000000001</v>
      </c>
      <c r="BR23">
        <v>17.018999999999998</v>
      </c>
      <c r="BS23">
        <v>16.170999999999999</v>
      </c>
      <c r="BT23">
        <v>15.128</v>
      </c>
      <c r="BU23">
        <v>11.744</v>
      </c>
      <c r="BV23">
        <v>15.597</v>
      </c>
      <c r="BW23">
        <v>17.873000000000001</v>
      </c>
      <c r="BX23">
        <v>11.249000000000001</v>
      </c>
      <c r="BY23">
        <v>17.323</v>
      </c>
      <c r="BZ23">
        <v>16.204999999999998</v>
      </c>
      <c r="CA23">
        <v>16.606000000000002</v>
      </c>
      <c r="CB23">
        <v>15.353</v>
      </c>
      <c r="CC23">
        <v>16.193999999999999</v>
      </c>
      <c r="CD23">
        <v>16.718</v>
      </c>
      <c r="CE23">
        <v>15.644</v>
      </c>
      <c r="CF23">
        <v>16.132000000000001</v>
      </c>
      <c r="CG23">
        <v>16.175000000000001</v>
      </c>
      <c r="CH23">
        <v>15.063000000000001</v>
      </c>
      <c r="CI23">
        <v>15.382999999999999</v>
      </c>
      <c r="CJ23">
        <v>17.402999999999999</v>
      </c>
      <c r="CK23">
        <v>16.626000000000001</v>
      </c>
      <c r="CL23">
        <v>18.138999999999999</v>
      </c>
      <c r="CM23">
        <v>16.536000000000001</v>
      </c>
      <c r="CN23">
        <v>17.347000000000001</v>
      </c>
      <c r="CO23">
        <v>17.260999999999999</v>
      </c>
      <c r="CP23">
        <v>14.173999999999999</v>
      </c>
      <c r="CQ23">
        <v>14.122</v>
      </c>
      <c r="CR23">
        <v>17.474</v>
      </c>
      <c r="CS23">
        <v>16.297000000000001</v>
      </c>
      <c r="CT23">
        <v>14.36</v>
      </c>
      <c r="CU23">
        <v>17.706</v>
      </c>
      <c r="CV23">
        <v>12.609</v>
      </c>
      <c r="CW23">
        <v>16.597999999999999</v>
      </c>
      <c r="CX23">
        <v>17.256</v>
      </c>
      <c r="CY23">
        <v>15.614000000000001</v>
      </c>
      <c r="CZ23">
        <v>17.882999999999999</v>
      </c>
      <c r="DA23">
        <v>16.619</v>
      </c>
      <c r="DB23">
        <v>16.356000000000002</v>
      </c>
      <c r="DC23">
        <v>16.097000000000001</v>
      </c>
      <c r="DD23">
        <v>16.698</v>
      </c>
      <c r="DE23">
        <v>12.544</v>
      </c>
      <c r="DF23">
        <v>15.762</v>
      </c>
      <c r="DG23">
        <v>17.172000000000001</v>
      </c>
      <c r="DH23">
        <v>16.876000000000001</v>
      </c>
      <c r="DI23">
        <v>14.884</v>
      </c>
      <c r="DJ23">
        <v>14.882999999999999</v>
      </c>
      <c r="DK23">
        <v>17.266999999999999</v>
      </c>
      <c r="DL23">
        <v>16.512</v>
      </c>
      <c r="DM23">
        <v>16.315000000000001</v>
      </c>
      <c r="DN23">
        <v>17.533000000000001</v>
      </c>
      <c r="DO23">
        <v>16.507000000000001</v>
      </c>
      <c r="DP23">
        <v>17.36</v>
      </c>
      <c r="DQ23">
        <v>12.753</v>
      </c>
      <c r="DR23">
        <v>18.11</v>
      </c>
      <c r="DS23">
        <v>16.385000000000002</v>
      </c>
      <c r="DT23">
        <v>17.239000000000001</v>
      </c>
      <c r="DU23">
        <v>17.972999999999999</v>
      </c>
      <c r="DV23">
        <v>15.971</v>
      </c>
      <c r="DW23">
        <v>16.367000000000001</v>
      </c>
      <c r="DX23">
        <v>14.911</v>
      </c>
      <c r="DY23">
        <v>16.753</v>
      </c>
      <c r="DZ23">
        <v>16.341999999999999</v>
      </c>
      <c r="EA23">
        <v>17.792000000000002</v>
      </c>
      <c r="EB23">
        <v>16.491</v>
      </c>
      <c r="EC23">
        <v>16.850999999999999</v>
      </c>
      <c r="ED23">
        <v>15.627000000000001</v>
      </c>
      <c r="EE23">
        <v>16.890999999999998</v>
      </c>
      <c r="EF23">
        <v>16.219000000000001</v>
      </c>
      <c r="EG23">
        <v>14.641999999999999</v>
      </c>
      <c r="EH23">
        <v>18.332999999999998</v>
      </c>
      <c r="EI23">
        <v>15.391</v>
      </c>
      <c r="EJ23">
        <v>15.420999999999999</v>
      </c>
      <c r="EK23">
        <v>18.177</v>
      </c>
      <c r="EL23">
        <v>13.956</v>
      </c>
      <c r="EM23">
        <v>17.335000000000001</v>
      </c>
      <c r="EN23">
        <v>16.225999999999999</v>
      </c>
      <c r="EO23">
        <v>18.312000000000001</v>
      </c>
      <c r="EP23">
        <v>13.69</v>
      </c>
      <c r="EQ23">
        <v>13.686</v>
      </c>
      <c r="ER23">
        <v>17.116</v>
      </c>
      <c r="ES23">
        <v>16.350000000000001</v>
      </c>
      <c r="ET23">
        <v>16.373999999999999</v>
      </c>
      <c r="EU23">
        <v>16.398</v>
      </c>
      <c r="EV23">
        <v>15.119</v>
      </c>
      <c r="EW23">
        <v>16.558</v>
      </c>
      <c r="EX23">
        <v>16.622</v>
      </c>
      <c r="EY23">
        <v>15.157</v>
      </c>
      <c r="EZ23">
        <v>16.742000000000001</v>
      </c>
      <c r="FA23">
        <v>17.713000000000001</v>
      </c>
      <c r="FB23">
        <v>17.463000000000001</v>
      </c>
      <c r="FC23">
        <v>17.844000000000001</v>
      </c>
      <c r="FD23">
        <v>18.013000000000002</v>
      </c>
      <c r="FE23">
        <v>15.417999999999999</v>
      </c>
      <c r="FF23">
        <v>15.506</v>
      </c>
      <c r="FG23">
        <v>14.920999999999999</v>
      </c>
      <c r="FH23">
        <v>15.311</v>
      </c>
      <c r="FI23">
        <v>16.459</v>
      </c>
      <c r="FJ23">
        <v>16.260000000000002</v>
      </c>
      <c r="FK23">
        <v>14.02</v>
      </c>
      <c r="FL23">
        <v>16.588999999999999</v>
      </c>
      <c r="FM23">
        <v>16.841999999999999</v>
      </c>
      <c r="FN23">
        <v>16.506</v>
      </c>
      <c r="FO23">
        <v>16.265999999999998</v>
      </c>
      <c r="FP23">
        <v>15.504</v>
      </c>
      <c r="FQ23">
        <v>15.36</v>
      </c>
      <c r="FR23">
        <v>16.699000000000002</v>
      </c>
      <c r="FS23">
        <v>14.577999999999999</v>
      </c>
      <c r="FT23">
        <v>17.216000000000001</v>
      </c>
      <c r="FU23">
        <v>16.641999999999999</v>
      </c>
      <c r="FV23">
        <v>17.251000000000001</v>
      </c>
      <c r="FW23">
        <v>16.954999999999998</v>
      </c>
      <c r="FX23">
        <v>13.542</v>
      </c>
      <c r="FY23">
        <v>17.349</v>
      </c>
      <c r="FZ23">
        <v>15.603999999999999</v>
      </c>
      <c r="GA23">
        <v>12.426</v>
      </c>
      <c r="GB23">
        <v>15.44</v>
      </c>
      <c r="GC23">
        <v>17.678000000000001</v>
      </c>
      <c r="GD23">
        <v>14.742000000000001</v>
      </c>
      <c r="GE23">
        <v>16.059000000000001</v>
      </c>
      <c r="GF23">
        <v>17.044</v>
      </c>
      <c r="GG23">
        <v>16.013999999999999</v>
      </c>
      <c r="GH23">
        <v>17.465</v>
      </c>
      <c r="GI23">
        <v>17.515000000000001</v>
      </c>
      <c r="GJ23">
        <v>17.515000000000001</v>
      </c>
      <c r="GK23">
        <v>15.885999999999999</v>
      </c>
      <c r="GL23">
        <v>15.766999999999999</v>
      </c>
      <c r="GM23">
        <v>15.478999999999999</v>
      </c>
      <c r="GN23">
        <v>17.699000000000002</v>
      </c>
      <c r="GO23">
        <v>16.369</v>
      </c>
      <c r="GP23">
        <v>15.635999999999999</v>
      </c>
      <c r="GQ23">
        <v>15.553000000000001</v>
      </c>
      <c r="GR23">
        <v>13.701000000000001</v>
      </c>
      <c r="GS23">
        <v>17.53</v>
      </c>
      <c r="GT23">
        <v>17.872</v>
      </c>
      <c r="GU23">
        <v>13.302</v>
      </c>
      <c r="GV23">
        <v>17.423999999999999</v>
      </c>
      <c r="GW23">
        <v>18.143000000000001</v>
      </c>
      <c r="GX23">
        <v>17.338000000000001</v>
      </c>
      <c r="GY23">
        <v>17.669</v>
      </c>
      <c r="GZ23">
        <v>17.72</v>
      </c>
      <c r="HA23">
        <v>15.462</v>
      </c>
      <c r="HB23">
        <v>13.117000000000001</v>
      </c>
      <c r="HC23">
        <v>13.345000000000001</v>
      </c>
      <c r="HD23">
        <v>16.812999999999999</v>
      </c>
      <c r="HE23">
        <v>17.155999999999999</v>
      </c>
      <c r="HF23">
        <v>13.351000000000001</v>
      </c>
      <c r="HG23">
        <v>17.658999999999999</v>
      </c>
      <c r="HH23">
        <v>15.33</v>
      </c>
      <c r="HI23">
        <v>15.116</v>
      </c>
      <c r="HJ23">
        <v>16.082999999999998</v>
      </c>
      <c r="HK23">
        <v>17.690000000000001</v>
      </c>
      <c r="HL23">
        <v>17.838000000000001</v>
      </c>
      <c r="HM23">
        <v>12.885999999999999</v>
      </c>
      <c r="HN23">
        <v>16.265999999999998</v>
      </c>
      <c r="HO23">
        <v>13.391999999999999</v>
      </c>
      <c r="HP23">
        <v>16.760999999999999</v>
      </c>
      <c r="HQ23">
        <v>16.606000000000002</v>
      </c>
      <c r="HR23">
        <v>12.765000000000001</v>
      </c>
      <c r="HS23">
        <v>12.451000000000001</v>
      </c>
      <c r="HT23">
        <v>15.551</v>
      </c>
      <c r="HU23">
        <v>15.52</v>
      </c>
      <c r="HV23">
        <v>16.052</v>
      </c>
      <c r="HW23">
        <v>16.334</v>
      </c>
      <c r="HX23">
        <v>16.887</v>
      </c>
      <c r="HY23">
        <v>17.364000000000001</v>
      </c>
      <c r="HZ23">
        <v>16.96</v>
      </c>
      <c r="IA23">
        <v>16.123000000000001</v>
      </c>
      <c r="IB23">
        <v>15.86</v>
      </c>
      <c r="IC23">
        <v>15.965999999999999</v>
      </c>
      <c r="ID23">
        <v>14.964</v>
      </c>
      <c r="IE23">
        <v>16.655999999999999</v>
      </c>
      <c r="IF23">
        <v>17.463000000000001</v>
      </c>
      <c r="IG23">
        <v>17.481999999999999</v>
      </c>
      <c r="IH23">
        <v>15.291</v>
      </c>
      <c r="II23">
        <v>17.614000000000001</v>
      </c>
      <c r="IJ23">
        <v>16.11</v>
      </c>
      <c r="IK23">
        <v>16.376000000000001</v>
      </c>
      <c r="IL23">
        <v>17.885999999999999</v>
      </c>
      <c r="IM23">
        <v>16.885999999999999</v>
      </c>
      <c r="IN23">
        <v>16.614999999999998</v>
      </c>
      <c r="IO23">
        <v>17.47</v>
      </c>
      <c r="IP23">
        <v>17.52</v>
      </c>
      <c r="IQ23">
        <v>11.541</v>
      </c>
      <c r="IR23">
        <v>16.085000000000001</v>
      </c>
      <c r="IS23">
        <v>16.332000000000001</v>
      </c>
      <c r="IT23">
        <v>17.224</v>
      </c>
      <c r="IU23">
        <v>16.228000000000002</v>
      </c>
      <c r="IV23">
        <v>15.7</v>
      </c>
      <c r="IW23">
        <v>15.361000000000001</v>
      </c>
      <c r="IX23">
        <v>17.471</v>
      </c>
      <c r="IY23">
        <v>17.481999999999999</v>
      </c>
      <c r="IZ23">
        <v>16.885999999999999</v>
      </c>
      <c r="JA23">
        <v>16.834</v>
      </c>
      <c r="JB23">
        <v>15.968</v>
      </c>
      <c r="JC23">
        <v>16.434999999999999</v>
      </c>
      <c r="JD23">
        <v>16.913</v>
      </c>
      <c r="JE23">
        <v>14.202999999999999</v>
      </c>
      <c r="JF23">
        <v>16.367999999999999</v>
      </c>
      <c r="JG23">
        <v>17.669</v>
      </c>
      <c r="JH23">
        <v>15.941000000000001</v>
      </c>
      <c r="JI23">
        <v>13.178000000000001</v>
      </c>
      <c r="JJ23">
        <v>16.047999999999998</v>
      </c>
      <c r="JK23">
        <v>14.166</v>
      </c>
      <c r="JL23">
        <v>16.425999999999998</v>
      </c>
      <c r="JM23">
        <v>17.428999999999998</v>
      </c>
      <c r="JN23">
        <v>16.306999999999999</v>
      </c>
      <c r="JO23">
        <v>16.856000000000002</v>
      </c>
      <c r="JP23">
        <v>14.645</v>
      </c>
      <c r="JQ23">
        <v>17.510000000000002</v>
      </c>
      <c r="JR23">
        <v>16.175000000000001</v>
      </c>
      <c r="JS23">
        <v>17.201000000000001</v>
      </c>
      <c r="JT23">
        <v>16.469000000000001</v>
      </c>
      <c r="JU23">
        <v>16.317</v>
      </c>
      <c r="JV23">
        <v>15.602</v>
      </c>
      <c r="JW23">
        <v>17.811</v>
      </c>
      <c r="JX23">
        <v>16.349</v>
      </c>
      <c r="JY23">
        <v>13.413</v>
      </c>
      <c r="JZ23">
        <v>13.146000000000001</v>
      </c>
      <c r="KA23">
        <v>15.17</v>
      </c>
      <c r="KB23">
        <v>15.904</v>
      </c>
      <c r="KC23">
        <v>15.884</v>
      </c>
      <c r="KD23">
        <v>16.773</v>
      </c>
      <c r="KE23">
        <v>13.576000000000001</v>
      </c>
      <c r="KF23">
        <v>14.628</v>
      </c>
      <c r="KG23">
        <v>17.567</v>
      </c>
      <c r="KH23">
        <v>17.652999999999999</v>
      </c>
      <c r="KI23">
        <v>16.814</v>
      </c>
      <c r="KJ23">
        <v>16.411000000000001</v>
      </c>
      <c r="KK23">
        <v>16.600999999999999</v>
      </c>
      <c r="KL23">
        <v>15.06</v>
      </c>
      <c r="KM23">
        <v>13.801</v>
      </c>
      <c r="KN23">
        <v>17.521999999999998</v>
      </c>
      <c r="KO23">
        <v>16.37</v>
      </c>
      <c r="KP23">
        <v>14.137</v>
      </c>
      <c r="KQ23">
        <v>14.747999999999999</v>
      </c>
      <c r="KR23">
        <v>14.561</v>
      </c>
    </row>
    <row r="24" spans="1:309" x14ac:dyDescent="0.25">
      <c r="A24">
        <v>2015</v>
      </c>
      <c r="B24">
        <v>9</v>
      </c>
      <c r="C24">
        <v>8</v>
      </c>
      <c r="D24">
        <v>13.005000000000001</v>
      </c>
      <c r="E24">
        <v>12.67</v>
      </c>
      <c r="F24">
        <v>11.911</v>
      </c>
      <c r="G24">
        <v>11.558999999999999</v>
      </c>
      <c r="H24">
        <v>12.31</v>
      </c>
      <c r="I24">
        <v>8.6609999999999996</v>
      </c>
      <c r="J24">
        <v>8.9220000000000006</v>
      </c>
      <c r="K24">
        <v>11.417999999999999</v>
      </c>
      <c r="L24">
        <v>11.307</v>
      </c>
      <c r="M24">
        <v>11.436</v>
      </c>
      <c r="N24">
        <v>11.32</v>
      </c>
      <c r="O24">
        <v>9.9420000000000002</v>
      </c>
      <c r="P24">
        <v>13.356</v>
      </c>
      <c r="Q24">
        <v>10.545999999999999</v>
      </c>
      <c r="R24">
        <v>11.677</v>
      </c>
      <c r="S24">
        <v>11.007999999999999</v>
      </c>
      <c r="T24">
        <v>14.340999999999999</v>
      </c>
      <c r="U24">
        <v>11.042</v>
      </c>
      <c r="V24">
        <v>11.605</v>
      </c>
      <c r="W24">
        <v>12.45</v>
      </c>
      <c r="X24">
        <v>12.561999999999999</v>
      </c>
      <c r="Y24">
        <v>13.108000000000001</v>
      </c>
      <c r="Z24">
        <v>9.7330000000000005</v>
      </c>
      <c r="AA24">
        <v>14.090999999999999</v>
      </c>
      <c r="AB24">
        <v>13.015000000000001</v>
      </c>
      <c r="AC24">
        <v>11.212</v>
      </c>
      <c r="AD24">
        <v>11.176</v>
      </c>
      <c r="AE24">
        <v>13.218</v>
      </c>
      <c r="AF24">
        <v>11.234999999999999</v>
      </c>
      <c r="AG24">
        <v>10.867000000000001</v>
      </c>
      <c r="AH24">
        <v>9.1560000000000006</v>
      </c>
      <c r="AI24">
        <v>10.23</v>
      </c>
      <c r="AJ24">
        <v>11.215999999999999</v>
      </c>
      <c r="AK24">
        <v>12.079000000000001</v>
      </c>
      <c r="AL24">
        <v>12.287000000000001</v>
      </c>
      <c r="AM24">
        <v>12.289</v>
      </c>
      <c r="AN24">
        <v>13.364000000000001</v>
      </c>
      <c r="AO24">
        <v>12.135</v>
      </c>
      <c r="AP24">
        <v>11.18</v>
      </c>
      <c r="AQ24">
        <v>13.352</v>
      </c>
      <c r="AR24">
        <v>11.554</v>
      </c>
      <c r="AS24">
        <v>14.851000000000001</v>
      </c>
      <c r="AT24">
        <v>11.305</v>
      </c>
      <c r="AU24">
        <v>10.926</v>
      </c>
      <c r="AV24">
        <v>11.939</v>
      </c>
      <c r="AW24">
        <v>12.131</v>
      </c>
      <c r="AX24">
        <v>12.13</v>
      </c>
      <c r="AY24">
        <v>11.896000000000001</v>
      </c>
      <c r="AZ24">
        <v>9.6449999999999996</v>
      </c>
      <c r="BA24">
        <v>11.643000000000001</v>
      </c>
      <c r="BB24">
        <v>9.4290000000000003</v>
      </c>
      <c r="BC24">
        <v>10.455</v>
      </c>
      <c r="BD24">
        <v>11.451000000000001</v>
      </c>
      <c r="BE24">
        <v>12.295999999999999</v>
      </c>
      <c r="BF24">
        <v>12.273999999999999</v>
      </c>
      <c r="BG24">
        <v>8.7729999999999997</v>
      </c>
      <c r="BH24">
        <v>8.7360000000000007</v>
      </c>
      <c r="BI24">
        <v>12.055</v>
      </c>
      <c r="BJ24">
        <v>13.473000000000001</v>
      </c>
      <c r="BK24">
        <v>12.127000000000001</v>
      </c>
      <c r="BL24">
        <v>12.718</v>
      </c>
      <c r="BM24">
        <v>10.815</v>
      </c>
      <c r="BN24">
        <v>11.858000000000001</v>
      </c>
      <c r="BO24">
        <v>12.038</v>
      </c>
      <c r="BP24">
        <v>13.124000000000001</v>
      </c>
      <c r="BQ24">
        <v>10.061999999999999</v>
      </c>
      <c r="BR24">
        <v>12.627000000000001</v>
      </c>
      <c r="BS24">
        <v>12.337</v>
      </c>
      <c r="BT24">
        <v>11.308</v>
      </c>
      <c r="BU24">
        <v>8.1720000000000006</v>
      </c>
      <c r="BV24">
        <v>11.205</v>
      </c>
      <c r="BW24">
        <v>13.701000000000001</v>
      </c>
      <c r="BX24">
        <v>7.3710000000000004</v>
      </c>
      <c r="BY24">
        <v>13.585000000000001</v>
      </c>
      <c r="BZ24">
        <v>11.676</v>
      </c>
      <c r="CA24">
        <v>12.662000000000001</v>
      </c>
      <c r="CB24">
        <v>11.117000000000001</v>
      </c>
      <c r="CC24">
        <v>11.836</v>
      </c>
      <c r="CD24">
        <v>12.643000000000001</v>
      </c>
      <c r="CE24">
        <v>11.864000000000001</v>
      </c>
      <c r="CF24">
        <v>11.994</v>
      </c>
      <c r="CG24">
        <v>11.500999999999999</v>
      </c>
      <c r="CH24">
        <v>11.007</v>
      </c>
      <c r="CI24">
        <v>11.802</v>
      </c>
      <c r="CJ24">
        <v>12.82</v>
      </c>
      <c r="CK24">
        <v>12.019</v>
      </c>
      <c r="CL24">
        <v>14.021000000000001</v>
      </c>
      <c r="CM24">
        <v>12.499000000000001</v>
      </c>
      <c r="CN24">
        <v>12.791</v>
      </c>
      <c r="CO24">
        <v>12.638999999999999</v>
      </c>
      <c r="CP24">
        <v>9.4179999999999993</v>
      </c>
      <c r="CQ24">
        <v>10.047000000000001</v>
      </c>
      <c r="CR24">
        <v>13.194000000000001</v>
      </c>
      <c r="CS24">
        <v>11.614000000000001</v>
      </c>
      <c r="CT24">
        <v>10.395</v>
      </c>
      <c r="CU24">
        <v>13.867000000000001</v>
      </c>
      <c r="CV24">
        <v>8.8230000000000004</v>
      </c>
      <c r="CW24">
        <v>12.731999999999999</v>
      </c>
      <c r="CX24">
        <v>13.204000000000001</v>
      </c>
      <c r="CY24">
        <v>11.03</v>
      </c>
      <c r="CZ24">
        <v>13.81</v>
      </c>
      <c r="DA24">
        <v>12.253</v>
      </c>
      <c r="DB24">
        <v>12.092000000000001</v>
      </c>
      <c r="DC24">
        <v>11.84</v>
      </c>
      <c r="DD24">
        <v>11.923</v>
      </c>
      <c r="DE24">
        <v>8.3930000000000007</v>
      </c>
      <c r="DF24">
        <v>11.567</v>
      </c>
      <c r="DG24">
        <v>12.635</v>
      </c>
      <c r="DH24">
        <v>12.491</v>
      </c>
      <c r="DI24">
        <v>10.59</v>
      </c>
      <c r="DJ24">
        <v>11.191000000000001</v>
      </c>
      <c r="DK24">
        <v>13.04</v>
      </c>
      <c r="DL24">
        <v>12.061</v>
      </c>
      <c r="DM24">
        <v>12.186999999999999</v>
      </c>
      <c r="DN24">
        <v>13.09</v>
      </c>
      <c r="DO24">
        <v>12.231999999999999</v>
      </c>
      <c r="DP24">
        <v>13.055</v>
      </c>
      <c r="DQ24">
        <v>8.8239999999999998</v>
      </c>
      <c r="DR24">
        <v>13.763999999999999</v>
      </c>
      <c r="DS24">
        <v>12.125999999999999</v>
      </c>
      <c r="DT24">
        <v>12.855</v>
      </c>
      <c r="DU24">
        <v>14.003</v>
      </c>
      <c r="DV24">
        <v>11.451000000000001</v>
      </c>
      <c r="DW24">
        <v>12.048</v>
      </c>
      <c r="DX24">
        <v>10.656000000000001</v>
      </c>
      <c r="DY24">
        <v>12.156000000000001</v>
      </c>
      <c r="DZ24">
        <v>11.811</v>
      </c>
      <c r="EA24">
        <v>13.233000000000001</v>
      </c>
      <c r="EB24">
        <v>12.444000000000001</v>
      </c>
      <c r="EC24">
        <v>12.272</v>
      </c>
      <c r="ED24">
        <v>11.323</v>
      </c>
      <c r="EE24">
        <v>12.638</v>
      </c>
      <c r="EF24">
        <v>11.683</v>
      </c>
      <c r="EG24">
        <v>10.488</v>
      </c>
      <c r="EH24">
        <v>14.13</v>
      </c>
      <c r="EI24">
        <v>11.03</v>
      </c>
      <c r="EJ24">
        <v>11.204000000000001</v>
      </c>
      <c r="EK24">
        <v>13.829000000000001</v>
      </c>
      <c r="EL24">
        <v>9.6880000000000006</v>
      </c>
      <c r="EM24">
        <v>13.57</v>
      </c>
      <c r="EN24">
        <v>11.683</v>
      </c>
      <c r="EO24">
        <v>14.173999999999999</v>
      </c>
      <c r="EP24">
        <v>9.9269999999999996</v>
      </c>
      <c r="EQ24">
        <v>9.2219999999999995</v>
      </c>
      <c r="ER24">
        <v>13.004</v>
      </c>
      <c r="ES24">
        <v>11.94</v>
      </c>
      <c r="ET24">
        <v>12.356</v>
      </c>
      <c r="EU24">
        <v>12.032999999999999</v>
      </c>
      <c r="EV24">
        <v>11.1</v>
      </c>
      <c r="EW24">
        <v>12.302</v>
      </c>
      <c r="EX24">
        <v>12.198</v>
      </c>
      <c r="EY24">
        <v>11.135</v>
      </c>
      <c r="EZ24">
        <v>12.496</v>
      </c>
      <c r="FA24">
        <v>13.189</v>
      </c>
      <c r="FB24">
        <v>13.343</v>
      </c>
      <c r="FC24">
        <v>14.129</v>
      </c>
      <c r="FD24">
        <v>13.384</v>
      </c>
      <c r="FE24">
        <v>11.06</v>
      </c>
      <c r="FF24">
        <v>11.07</v>
      </c>
      <c r="FG24">
        <v>11.199</v>
      </c>
      <c r="FH24">
        <v>11.237</v>
      </c>
      <c r="FI24">
        <v>12.441000000000001</v>
      </c>
      <c r="FJ24">
        <v>12.468</v>
      </c>
      <c r="FK24">
        <v>9.5079999999999991</v>
      </c>
      <c r="FL24">
        <v>12.385</v>
      </c>
      <c r="FM24">
        <v>12.49</v>
      </c>
      <c r="FN24">
        <v>12.516999999999999</v>
      </c>
      <c r="FO24">
        <v>13.19</v>
      </c>
      <c r="FP24">
        <v>10.933999999999999</v>
      </c>
      <c r="FQ24">
        <v>11.292999999999999</v>
      </c>
      <c r="FR24">
        <v>12.207000000000001</v>
      </c>
      <c r="FS24">
        <v>10.842000000000001</v>
      </c>
      <c r="FT24">
        <v>12.874000000000001</v>
      </c>
      <c r="FU24">
        <v>12.14</v>
      </c>
      <c r="FV24">
        <v>13.206</v>
      </c>
      <c r="FW24">
        <v>12.967000000000001</v>
      </c>
      <c r="FX24">
        <v>9.3469999999999995</v>
      </c>
      <c r="FY24">
        <v>12.788</v>
      </c>
      <c r="FZ24">
        <v>10.835000000000001</v>
      </c>
      <c r="GA24">
        <v>8.4260000000000002</v>
      </c>
      <c r="GB24">
        <v>10.99</v>
      </c>
      <c r="GC24">
        <v>13.484</v>
      </c>
      <c r="GD24">
        <v>10.500999999999999</v>
      </c>
      <c r="GE24">
        <v>11.628</v>
      </c>
      <c r="GF24">
        <v>12.907999999999999</v>
      </c>
      <c r="GG24">
        <v>11.972</v>
      </c>
      <c r="GH24">
        <v>12.795</v>
      </c>
      <c r="GI24">
        <v>14.285</v>
      </c>
      <c r="GJ24">
        <v>13.196</v>
      </c>
      <c r="GK24">
        <v>11.79</v>
      </c>
      <c r="GL24">
        <v>10.856999999999999</v>
      </c>
      <c r="GM24">
        <v>11.202999999999999</v>
      </c>
      <c r="GN24">
        <v>13.478999999999999</v>
      </c>
      <c r="GO24">
        <v>12.332000000000001</v>
      </c>
      <c r="GP24">
        <v>11.445</v>
      </c>
      <c r="GQ24">
        <v>11.14</v>
      </c>
      <c r="GR24">
        <v>9.9339999999999993</v>
      </c>
      <c r="GS24">
        <v>13.063000000000001</v>
      </c>
      <c r="GT24">
        <v>13.41</v>
      </c>
      <c r="GU24">
        <v>8.9480000000000004</v>
      </c>
      <c r="GV24">
        <v>13.888</v>
      </c>
      <c r="GW24">
        <v>13.81</v>
      </c>
      <c r="GX24">
        <v>12.954000000000001</v>
      </c>
      <c r="GY24">
        <v>13.211</v>
      </c>
      <c r="GZ24">
        <v>13.372</v>
      </c>
      <c r="HA24">
        <v>11.14</v>
      </c>
      <c r="HB24">
        <v>8.3889999999999993</v>
      </c>
      <c r="HC24">
        <v>9.0850000000000009</v>
      </c>
      <c r="HD24">
        <v>12.449</v>
      </c>
      <c r="HE24">
        <v>12.927</v>
      </c>
      <c r="HF24">
        <v>9.5489999999999995</v>
      </c>
      <c r="HG24">
        <v>13.323</v>
      </c>
      <c r="HH24">
        <v>11.497999999999999</v>
      </c>
      <c r="HI24">
        <v>11.205</v>
      </c>
      <c r="HJ24">
        <v>11.691000000000001</v>
      </c>
      <c r="HK24">
        <v>13.311</v>
      </c>
      <c r="HL24">
        <v>13.516999999999999</v>
      </c>
      <c r="HM24">
        <v>9.2319999999999993</v>
      </c>
      <c r="HN24">
        <v>11.395</v>
      </c>
      <c r="HO24">
        <v>9.7240000000000002</v>
      </c>
      <c r="HP24">
        <v>12.717000000000001</v>
      </c>
      <c r="HQ24">
        <v>12.234</v>
      </c>
      <c r="HR24">
        <v>8.6620000000000008</v>
      </c>
      <c r="HS24">
        <v>8.7530000000000001</v>
      </c>
      <c r="HT24">
        <v>11.061999999999999</v>
      </c>
      <c r="HU24">
        <v>11.090999999999999</v>
      </c>
      <c r="HV24">
        <v>12.199</v>
      </c>
      <c r="HW24">
        <v>12.473000000000001</v>
      </c>
      <c r="HX24">
        <v>12.679</v>
      </c>
      <c r="HY24">
        <v>13.417999999999999</v>
      </c>
      <c r="HZ24">
        <v>12.589</v>
      </c>
      <c r="IA24">
        <v>12.000999999999999</v>
      </c>
      <c r="IB24">
        <v>11.651999999999999</v>
      </c>
      <c r="IC24">
        <v>11.945</v>
      </c>
      <c r="ID24">
        <v>11.391</v>
      </c>
      <c r="IE24">
        <v>12.192</v>
      </c>
      <c r="IF24">
        <v>13.881</v>
      </c>
      <c r="IG24">
        <v>13.272</v>
      </c>
      <c r="IH24">
        <v>11.25</v>
      </c>
      <c r="II24">
        <v>13.492000000000001</v>
      </c>
      <c r="IJ24">
        <v>11.315</v>
      </c>
      <c r="IK24">
        <v>11.691000000000001</v>
      </c>
      <c r="IL24">
        <v>14.295</v>
      </c>
      <c r="IM24">
        <v>12.43</v>
      </c>
      <c r="IN24">
        <v>12.698</v>
      </c>
      <c r="IO24">
        <v>13.132999999999999</v>
      </c>
      <c r="IP24">
        <v>12.975</v>
      </c>
      <c r="IQ24">
        <v>7.8120000000000003</v>
      </c>
      <c r="IR24">
        <v>11.762</v>
      </c>
      <c r="IS24">
        <v>12.066000000000001</v>
      </c>
      <c r="IT24">
        <v>12.762</v>
      </c>
      <c r="IU24">
        <v>11.725</v>
      </c>
      <c r="IV24">
        <v>11.113</v>
      </c>
      <c r="IW24">
        <v>10.943</v>
      </c>
      <c r="IX24">
        <v>12.977</v>
      </c>
      <c r="IY24">
        <v>12.936999999999999</v>
      </c>
      <c r="IZ24">
        <v>12.576000000000001</v>
      </c>
      <c r="JA24">
        <v>12.712999999999999</v>
      </c>
      <c r="JB24">
        <v>11.257</v>
      </c>
      <c r="JC24">
        <v>12.584</v>
      </c>
      <c r="JD24">
        <v>12.417999999999999</v>
      </c>
      <c r="JE24">
        <v>10.256</v>
      </c>
      <c r="JF24">
        <v>12.340999999999999</v>
      </c>
      <c r="JG24">
        <v>13.452</v>
      </c>
      <c r="JH24">
        <v>11.462</v>
      </c>
      <c r="JI24">
        <v>9.0869999999999997</v>
      </c>
      <c r="JJ24">
        <v>11.869</v>
      </c>
      <c r="JK24">
        <v>9.7769999999999992</v>
      </c>
      <c r="JL24">
        <v>12.17</v>
      </c>
      <c r="JM24">
        <v>13.659000000000001</v>
      </c>
      <c r="JN24">
        <v>11.763</v>
      </c>
      <c r="JO24">
        <v>12.494999999999999</v>
      </c>
      <c r="JP24">
        <v>10.391999999999999</v>
      </c>
      <c r="JQ24">
        <v>13.081</v>
      </c>
      <c r="JR24">
        <v>11.548</v>
      </c>
      <c r="JS24">
        <v>13.576000000000001</v>
      </c>
      <c r="JT24">
        <v>12.263</v>
      </c>
      <c r="JU24">
        <v>11.782</v>
      </c>
      <c r="JV24">
        <v>11.332000000000001</v>
      </c>
      <c r="JW24">
        <v>14.22</v>
      </c>
      <c r="JX24">
        <v>12.138999999999999</v>
      </c>
      <c r="JY24">
        <v>9.9770000000000003</v>
      </c>
      <c r="JZ24">
        <v>8.7449999999999992</v>
      </c>
      <c r="KA24">
        <v>11.048</v>
      </c>
      <c r="KB24">
        <v>11.417999999999999</v>
      </c>
      <c r="KC24">
        <v>11.846</v>
      </c>
      <c r="KD24">
        <v>12.425000000000001</v>
      </c>
      <c r="KE24">
        <v>9.9090000000000007</v>
      </c>
      <c r="KF24">
        <v>9.9860000000000007</v>
      </c>
      <c r="KG24">
        <v>13.173999999999999</v>
      </c>
      <c r="KH24">
        <v>14.157</v>
      </c>
      <c r="KI24">
        <v>12.423</v>
      </c>
      <c r="KJ24">
        <v>12.304</v>
      </c>
      <c r="KK24">
        <v>12.044</v>
      </c>
      <c r="KL24">
        <v>11.311999999999999</v>
      </c>
      <c r="KM24">
        <v>9.6579999999999995</v>
      </c>
      <c r="KN24">
        <v>13.016</v>
      </c>
      <c r="KO24">
        <v>12.286</v>
      </c>
      <c r="KP24">
        <v>10.494999999999999</v>
      </c>
      <c r="KQ24">
        <v>10.438000000000001</v>
      </c>
      <c r="KR24">
        <v>10.292999999999999</v>
      </c>
    </row>
    <row r="25" spans="1:309" x14ac:dyDescent="0.25">
      <c r="A25">
        <v>2015</v>
      </c>
      <c r="B25">
        <v>10</v>
      </c>
      <c r="C25">
        <v>1.3720000000000001</v>
      </c>
      <c r="D25">
        <v>7.3849999999999998</v>
      </c>
      <c r="E25">
        <v>8.2129999999999992</v>
      </c>
      <c r="F25">
        <v>7.5540000000000003</v>
      </c>
      <c r="G25">
        <v>7.3879999999999999</v>
      </c>
      <c r="H25">
        <v>6.6079999999999997</v>
      </c>
      <c r="I25">
        <v>1.9219999999999999</v>
      </c>
      <c r="J25">
        <v>2.0979999999999999</v>
      </c>
      <c r="K25">
        <v>6.6319999999999997</v>
      </c>
      <c r="L25">
        <v>6.7679999999999998</v>
      </c>
      <c r="M25">
        <v>5.1630000000000003</v>
      </c>
      <c r="N25">
        <v>6.9969999999999999</v>
      </c>
      <c r="O25">
        <v>3.411</v>
      </c>
      <c r="P25">
        <v>9.0190000000000001</v>
      </c>
      <c r="Q25">
        <v>2.6429999999999998</v>
      </c>
      <c r="R25">
        <v>7.4720000000000004</v>
      </c>
      <c r="S25">
        <v>4.7350000000000003</v>
      </c>
      <c r="T25">
        <v>9.5190000000000001</v>
      </c>
      <c r="U25">
        <v>5.3940000000000001</v>
      </c>
      <c r="V25">
        <v>7.4269999999999996</v>
      </c>
      <c r="W25">
        <v>6.6769999999999996</v>
      </c>
      <c r="X25">
        <v>8.577</v>
      </c>
      <c r="Y25">
        <v>9.1110000000000007</v>
      </c>
      <c r="Z25">
        <v>3.573</v>
      </c>
      <c r="AA25">
        <v>9.5380000000000003</v>
      </c>
      <c r="AB25">
        <v>8.6530000000000005</v>
      </c>
      <c r="AC25">
        <v>5.8970000000000002</v>
      </c>
      <c r="AD25">
        <v>6.7759999999999998</v>
      </c>
      <c r="AE25">
        <v>7.226</v>
      </c>
      <c r="AF25">
        <v>6.3570000000000002</v>
      </c>
      <c r="AG25">
        <v>4.7709999999999999</v>
      </c>
      <c r="AH25">
        <v>2.544</v>
      </c>
      <c r="AI25">
        <v>4.2850000000000001</v>
      </c>
      <c r="AJ25">
        <v>6.8010000000000002</v>
      </c>
      <c r="AK25">
        <v>7.6230000000000002</v>
      </c>
      <c r="AL25">
        <v>5.9740000000000002</v>
      </c>
      <c r="AM25">
        <v>6.4359999999999999</v>
      </c>
      <c r="AN25">
        <v>9.1029999999999998</v>
      </c>
      <c r="AO25">
        <v>7.3570000000000002</v>
      </c>
      <c r="AP25">
        <v>5.476</v>
      </c>
      <c r="AQ25">
        <v>8.9629999999999992</v>
      </c>
      <c r="AR25">
        <v>7.1440000000000001</v>
      </c>
      <c r="AS25">
        <v>10.6</v>
      </c>
      <c r="AT25">
        <v>5.5910000000000002</v>
      </c>
      <c r="AU25">
        <v>5.8380000000000001</v>
      </c>
      <c r="AV25">
        <v>4.83</v>
      </c>
      <c r="AW25">
        <v>7.1870000000000003</v>
      </c>
      <c r="AX25">
        <v>6.6180000000000003</v>
      </c>
      <c r="AY25">
        <v>6.8650000000000002</v>
      </c>
      <c r="AZ25">
        <v>2.8849999999999998</v>
      </c>
      <c r="BA25">
        <v>7.2960000000000003</v>
      </c>
      <c r="BB25">
        <v>3.4079999999999999</v>
      </c>
      <c r="BC25">
        <v>4.9829999999999997</v>
      </c>
      <c r="BD25">
        <v>7.2930000000000001</v>
      </c>
      <c r="BE25">
        <v>6.5949999999999998</v>
      </c>
      <c r="BF25">
        <v>7.5549999999999997</v>
      </c>
      <c r="BG25">
        <v>1.972</v>
      </c>
      <c r="BH25">
        <v>0.91400000000000003</v>
      </c>
      <c r="BI25">
        <v>5.7450000000000001</v>
      </c>
      <c r="BJ25">
        <v>8.7140000000000004</v>
      </c>
      <c r="BK25">
        <v>7.468</v>
      </c>
      <c r="BL25">
        <v>6.7830000000000004</v>
      </c>
      <c r="BM25">
        <v>5.2939999999999996</v>
      </c>
      <c r="BN25">
        <v>6.6829999999999998</v>
      </c>
      <c r="BO25">
        <v>6.09</v>
      </c>
      <c r="BP25">
        <v>8.9440000000000008</v>
      </c>
      <c r="BQ25">
        <v>3.4020000000000001</v>
      </c>
      <c r="BR25">
        <v>7.4989999999999997</v>
      </c>
      <c r="BS25">
        <v>6.556</v>
      </c>
      <c r="BT25">
        <v>3.351</v>
      </c>
      <c r="BU25">
        <v>2.7069999999999999</v>
      </c>
      <c r="BV25">
        <v>5.2670000000000003</v>
      </c>
      <c r="BW25">
        <v>9.1869999999999994</v>
      </c>
      <c r="BX25">
        <v>1.5209999999999999</v>
      </c>
      <c r="BY25">
        <v>8.0310000000000006</v>
      </c>
      <c r="BZ25">
        <v>7.0049999999999999</v>
      </c>
      <c r="CA25">
        <v>8.4469999999999992</v>
      </c>
      <c r="CB25">
        <v>5.3440000000000003</v>
      </c>
      <c r="CC25">
        <v>7.1050000000000004</v>
      </c>
      <c r="CD25">
        <v>6.819</v>
      </c>
      <c r="CE25">
        <v>5.64</v>
      </c>
      <c r="CF25">
        <v>7.468</v>
      </c>
      <c r="CG25">
        <v>7.6210000000000004</v>
      </c>
      <c r="CH25">
        <v>5.7960000000000003</v>
      </c>
      <c r="CI25">
        <v>5.6029999999999998</v>
      </c>
      <c r="CJ25">
        <v>8.4719999999999995</v>
      </c>
      <c r="CK25">
        <v>8.2889999999999997</v>
      </c>
      <c r="CL25">
        <v>9.4589999999999996</v>
      </c>
      <c r="CM25">
        <v>7.8079999999999998</v>
      </c>
      <c r="CN25">
        <v>8.8130000000000006</v>
      </c>
      <c r="CO25">
        <v>8.61</v>
      </c>
      <c r="CP25">
        <v>1.9</v>
      </c>
      <c r="CQ25">
        <v>2.968</v>
      </c>
      <c r="CR25">
        <v>7.4370000000000003</v>
      </c>
      <c r="CS25">
        <v>7.3540000000000001</v>
      </c>
      <c r="CT25">
        <v>2.16</v>
      </c>
      <c r="CU25">
        <v>9.2739999999999991</v>
      </c>
      <c r="CV25">
        <v>-0.188</v>
      </c>
      <c r="CW25">
        <v>8.6180000000000003</v>
      </c>
      <c r="CX25">
        <v>8.9309999999999992</v>
      </c>
      <c r="CY25">
        <v>6.1589999999999998</v>
      </c>
      <c r="CZ25">
        <v>9.4120000000000008</v>
      </c>
      <c r="DA25">
        <v>7.0579999999999998</v>
      </c>
      <c r="DB25">
        <v>6.7489999999999997</v>
      </c>
      <c r="DC25">
        <v>6.8550000000000004</v>
      </c>
      <c r="DD25">
        <v>7.758</v>
      </c>
      <c r="DE25">
        <v>0.80200000000000005</v>
      </c>
      <c r="DF25">
        <v>6.82</v>
      </c>
      <c r="DG25">
        <v>8.6219999999999999</v>
      </c>
      <c r="DH25">
        <v>6.1070000000000002</v>
      </c>
      <c r="DI25">
        <v>5.2930000000000001</v>
      </c>
      <c r="DJ25">
        <v>4.26</v>
      </c>
      <c r="DK25">
        <v>9.2070000000000007</v>
      </c>
      <c r="DL25">
        <v>7.2409999999999997</v>
      </c>
      <c r="DM25">
        <v>6.7750000000000004</v>
      </c>
      <c r="DN25">
        <v>8.7959999999999994</v>
      </c>
      <c r="DO25">
        <v>6.4660000000000002</v>
      </c>
      <c r="DP25">
        <v>8.6549999999999994</v>
      </c>
      <c r="DQ25">
        <v>1.966</v>
      </c>
      <c r="DR25">
        <v>9.35</v>
      </c>
      <c r="DS25">
        <v>6.3090000000000002</v>
      </c>
      <c r="DT25">
        <v>8.74</v>
      </c>
      <c r="DU25">
        <v>9.4939999999999998</v>
      </c>
      <c r="DV25">
        <v>6.5720000000000001</v>
      </c>
      <c r="DW25">
        <v>6.8360000000000003</v>
      </c>
      <c r="DX25">
        <v>5.1379999999999999</v>
      </c>
      <c r="DY25">
        <v>7.835</v>
      </c>
      <c r="DZ25">
        <v>7.383</v>
      </c>
      <c r="EA25">
        <v>7.3129999999999997</v>
      </c>
      <c r="EB25">
        <v>7.7030000000000003</v>
      </c>
      <c r="EC25">
        <v>7.532</v>
      </c>
      <c r="ED25">
        <v>5.9290000000000003</v>
      </c>
      <c r="EE25">
        <v>7.7709999999999999</v>
      </c>
      <c r="EF25">
        <v>7.649</v>
      </c>
      <c r="EG25">
        <v>4.2149999999999999</v>
      </c>
      <c r="EH25">
        <v>9.5820000000000007</v>
      </c>
      <c r="EI25">
        <v>5.6840000000000002</v>
      </c>
      <c r="EJ25">
        <v>3.323</v>
      </c>
      <c r="EK25">
        <v>9.3840000000000003</v>
      </c>
      <c r="EL25">
        <v>2.734</v>
      </c>
      <c r="EM25">
        <v>8.8000000000000007</v>
      </c>
      <c r="EN25">
        <v>7.0289999999999999</v>
      </c>
      <c r="EO25">
        <v>9.6280000000000001</v>
      </c>
      <c r="EP25">
        <v>4.1879999999999997</v>
      </c>
      <c r="EQ25">
        <v>2.2810000000000001</v>
      </c>
      <c r="ER25">
        <v>8.1020000000000003</v>
      </c>
      <c r="ES25">
        <v>8.1</v>
      </c>
      <c r="ET25">
        <v>8.0679999999999996</v>
      </c>
      <c r="EU25">
        <v>7.3520000000000003</v>
      </c>
      <c r="EV25">
        <v>5.4969999999999999</v>
      </c>
      <c r="EW25">
        <v>7.5730000000000004</v>
      </c>
      <c r="EX25">
        <v>7.7519999999999998</v>
      </c>
      <c r="EY25">
        <v>5.806</v>
      </c>
      <c r="EZ25">
        <v>5.5830000000000002</v>
      </c>
      <c r="FA25">
        <v>8.657</v>
      </c>
      <c r="FB25">
        <v>8.8000000000000007</v>
      </c>
      <c r="FC25">
        <v>9.5169999999999995</v>
      </c>
      <c r="FD25">
        <v>7.5679999999999996</v>
      </c>
      <c r="FE25">
        <v>5.8410000000000002</v>
      </c>
      <c r="FF25">
        <v>5.4029999999999996</v>
      </c>
      <c r="FG25">
        <v>4.9039999999999999</v>
      </c>
      <c r="FH25">
        <v>4.609</v>
      </c>
      <c r="FI25">
        <v>7.415</v>
      </c>
      <c r="FJ25">
        <v>5.5919999999999996</v>
      </c>
      <c r="FK25">
        <v>2.569</v>
      </c>
      <c r="FL25">
        <v>7.806</v>
      </c>
      <c r="FM25">
        <v>6.726</v>
      </c>
      <c r="FN25">
        <v>7.391</v>
      </c>
      <c r="FO25">
        <v>7.9240000000000004</v>
      </c>
      <c r="FP25">
        <v>6.5869999999999997</v>
      </c>
      <c r="FQ25">
        <v>5.2489999999999997</v>
      </c>
      <c r="FR25">
        <v>8.2149999999999999</v>
      </c>
      <c r="FS25">
        <v>5.0839999999999996</v>
      </c>
      <c r="FT25">
        <v>8.0920000000000005</v>
      </c>
      <c r="FU25">
        <v>7.9969999999999999</v>
      </c>
      <c r="FV25">
        <v>8.7279999999999998</v>
      </c>
      <c r="FW25">
        <v>8.1379999999999999</v>
      </c>
      <c r="FX25">
        <v>0.72699999999999998</v>
      </c>
      <c r="FY25">
        <v>8.3849999999999998</v>
      </c>
      <c r="FZ25">
        <v>3.339</v>
      </c>
      <c r="GA25">
        <v>2.415</v>
      </c>
      <c r="GB25">
        <v>4.3230000000000004</v>
      </c>
      <c r="GC25">
        <v>9.0220000000000002</v>
      </c>
      <c r="GD25">
        <v>4.8369999999999997</v>
      </c>
      <c r="GE25">
        <v>5.1920000000000002</v>
      </c>
      <c r="GF25">
        <v>7.2859999999999996</v>
      </c>
      <c r="GG25">
        <v>5.83</v>
      </c>
      <c r="GH25">
        <v>6.6989999999999998</v>
      </c>
      <c r="GI25">
        <v>10.446</v>
      </c>
      <c r="GJ25">
        <v>9.0280000000000005</v>
      </c>
      <c r="GK25">
        <v>7.359</v>
      </c>
      <c r="GL25">
        <v>4.0970000000000004</v>
      </c>
      <c r="GM25">
        <v>5.7380000000000004</v>
      </c>
      <c r="GN25">
        <v>9.2550000000000008</v>
      </c>
      <c r="GO25">
        <v>6.1639999999999997</v>
      </c>
      <c r="GP25">
        <v>7.0510000000000002</v>
      </c>
      <c r="GQ25">
        <v>5.6059999999999999</v>
      </c>
      <c r="GR25">
        <v>2.6989999999999998</v>
      </c>
      <c r="GS25">
        <v>6.9569999999999999</v>
      </c>
      <c r="GT25">
        <v>7.6269999999999998</v>
      </c>
      <c r="GU25">
        <v>2.105</v>
      </c>
      <c r="GV25">
        <v>9.2769999999999992</v>
      </c>
      <c r="GW25">
        <v>9.3819999999999997</v>
      </c>
      <c r="GX25">
        <v>8.36</v>
      </c>
      <c r="GY25">
        <v>7.3529999999999998</v>
      </c>
      <c r="GZ25">
        <v>7.6849999999999996</v>
      </c>
      <c r="HA25">
        <v>6.3620000000000001</v>
      </c>
      <c r="HB25">
        <v>3.8130000000000002</v>
      </c>
      <c r="HC25">
        <v>2.3340000000000001</v>
      </c>
      <c r="HD25">
        <v>6.27</v>
      </c>
      <c r="HE25">
        <v>8.2899999999999991</v>
      </c>
      <c r="HF25">
        <v>3.181</v>
      </c>
      <c r="HG25">
        <v>7.5869999999999997</v>
      </c>
      <c r="HH25">
        <v>4.9820000000000002</v>
      </c>
      <c r="HI25">
        <v>6.0350000000000001</v>
      </c>
      <c r="HJ25">
        <v>5.7359999999999998</v>
      </c>
      <c r="HK25">
        <v>9.0419999999999998</v>
      </c>
      <c r="HL25">
        <v>9.2349999999999994</v>
      </c>
      <c r="HM25">
        <v>3.0110000000000001</v>
      </c>
      <c r="HN25">
        <v>7.0869999999999997</v>
      </c>
      <c r="HO25">
        <v>4.1760000000000002</v>
      </c>
      <c r="HP25">
        <v>8.0589999999999993</v>
      </c>
      <c r="HQ25">
        <v>7.2990000000000004</v>
      </c>
      <c r="HR25">
        <v>3.31</v>
      </c>
      <c r="HS25">
        <v>2.8679999999999999</v>
      </c>
      <c r="HT25">
        <v>5.3220000000000001</v>
      </c>
      <c r="HU25">
        <v>6.8220000000000001</v>
      </c>
      <c r="HV25">
        <v>6.1870000000000003</v>
      </c>
      <c r="HW25">
        <v>7.5</v>
      </c>
      <c r="HX25">
        <v>6.9630000000000001</v>
      </c>
      <c r="HY25">
        <v>9.3840000000000003</v>
      </c>
      <c r="HZ25">
        <v>7.931</v>
      </c>
      <c r="IA25">
        <v>7.6950000000000003</v>
      </c>
      <c r="IB25">
        <v>7.2990000000000004</v>
      </c>
      <c r="IC25">
        <v>5.3129999999999997</v>
      </c>
      <c r="ID25">
        <v>4.4550000000000001</v>
      </c>
      <c r="IE25">
        <v>7.6440000000000001</v>
      </c>
      <c r="IF25">
        <v>9.3840000000000003</v>
      </c>
      <c r="IG25">
        <v>9.2449999999999992</v>
      </c>
      <c r="IH25">
        <v>5.6</v>
      </c>
      <c r="II25">
        <v>9.0980000000000008</v>
      </c>
      <c r="IJ25">
        <v>7.077</v>
      </c>
      <c r="IK25">
        <v>7.0709999999999997</v>
      </c>
      <c r="IL25">
        <v>10.087</v>
      </c>
      <c r="IM25">
        <v>7.7869999999999999</v>
      </c>
      <c r="IN25">
        <v>7.2610000000000001</v>
      </c>
      <c r="IO25">
        <v>7.5330000000000004</v>
      </c>
      <c r="IP25">
        <v>6.7670000000000003</v>
      </c>
      <c r="IQ25">
        <v>2.798</v>
      </c>
      <c r="IR25">
        <v>5.22</v>
      </c>
      <c r="IS25">
        <v>7.3949999999999996</v>
      </c>
      <c r="IT25">
        <v>8.141</v>
      </c>
      <c r="IU25">
        <v>7.8739999999999997</v>
      </c>
      <c r="IV25">
        <v>6.8810000000000002</v>
      </c>
      <c r="IW25">
        <v>4.2830000000000004</v>
      </c>
      <c r="IX25">
        <v>7.1849999999999996</v>
      </c>
      <c r="IY25">
        <v>6.76</v>
      </c>
      <c r="IZ25">
        <v>5.7370000000000001</v>
      </c>
      <c r="JA25">
        <v>8.0459999999999994</v>
      </c>
      <c r="JB25">
        <v>7.1769999999999996</v>
      </c>
      <c r="JC25">
        <v>7.8849999999999998</v>
      </c>
      <c r="JD25">
        <v>5.7190000000000003</v>
      </c>
      <c r="JE25">
        <v>4.6369999999999996</v>
      </c>
      <c r="JF25">
        <v>7.5590000000000002</v>
      </c>
      <c r="JG25">
        <v>9.06</v>
      </c>
      <c r="JH25">
        <v>6.9740000000000002</v>
      </c>
      <c r="JI25">
        <v>2.3439999999999999</v>
      </c>
      <c r="JJ25">
        <v>7.2549999999999999</v>
      </c>
      <c r="JK25">
        <v>2.7690000000000001</v>
      </c>
      <c r="JL25">
        <v>6.8979999999999997</v>
      </c>
      <c r="JM25">
        <v>8.2409999999999997</v>
      </c>
      <c r="JN25">
        <v>7.0869999999999997</v>
      </c>
      <c r="JO25">
        <v>8.0299999999999994</v>
      </c>
      <c r="JP25">
        <v>3.7989999999999999</v>
      </c>
      <c r="JQ25">
        <v>7.2990000000000004</v>
      </c>
      <c r="JR25">
        <v>7.3639999999999999</v>
      </c>
      <c r="JS25">
        <v>8.9819999999999993</v>
      </c>
      <c r="JT25">
        <v>6.1130000000000004</v>
      </c>
      <c r="JU25">
        <v>7.476</v>
      </c>
      <c r="JV25">
        <v>6.6239999999999997</v>
      </c>
      <c r="JW25">
        <v>10.061999999999999</v>
      </c>
      <c r="JX25">
        <v>7.6</v>
      </c>
      <c r="JY25">
        <v>3.3130000000000002</v>
      </c>
      <c r="JZ25">
        <v>3.7490000000000001</v>
      </c>
      <c r="KA25">
        <v>6.5129999999999999</v>
      </c>
      <c r="KB25">
        <v>6.8490000000000002</v>
      </c>
      <c r="KC25">
        <v>7.0030000000000001</v>
      </c>
      <c r="KD25">
        <v>7.7149999999999999</v>
      </c>
      <c r="KE25">
        <v>3.85</v>
      </c>
      <c r="KF25">
        <v>2.113</v>
      </c>
      <c r="KG25">
        <v>8.9049999999999994</v>
      </c>
      <c r="KH25">
        <v>9.7829999999999995</v>
      </c>
      <c r="KI25">
        <v>7.827</v>
      </c>
      <c r="KJ25">
        <v>6.59</v>
      </c>
      <c r="KK25">
        <v>8.2810000000000006</v>
      </c>
      <c r="KL25">
        <v>4.5780000000000003</v>
      </c>
      <c r="KM25">
        <v>4.2119999999999997</v>
      </c>
      <c r="KN25">
        <v>6.976</v>
      </c>
      <c r="KO25">
        <v>5.2629999999999999</v>
      </c>
      <c r="KP25">
        <v>4.5750000000000002</v>
      </c>
      <c r="KQ25">
        <v>1.5720000000000001</v>
      </c>
      <c r="KR25">
        <v>1.542</v>
      </c>
    </row>
    <row r="26" spans="1:309" x14ac:dyDescent="0.25">
      <c r="A26">
        <v>2015</v>
      </c>
      <c r="B26">
        <v>11</v>
      </c>
      <c r="C26">
        <v>-3.67</v>
      </c>
      <c r="D26">
        <v>4.5199999999999996</v>
      </c>
      <c r="E26">
        <v>6.2549999999999999</v>
      </c>
      <c r="F26">
        <v>5.4530000000000003</v>
      </c>
      <c r="G26">
        <v>4.8239999999999998</v>
      </c>
      <c r="H26">
        <v>3.9039999999999999</v>
      </c>
      <c r="I26">
        <v>-4.125</v>
      </c>
      <c r="J26">
        <v>-2.984</v>
      </c>
      <c r="K26">
        <v>3.4289999999999998</v>
      </c>
      <c r="L26">
        <v>4.28</v>
      </c>
      <c r="M26">
        <v>2.411</v>
      </c>
      <c r="N26">
        <v>4.1879999999999997</v>
      </c>
      <c r="O26">
        <v>7.0000000000000007E-2</v>
      </c>
      <c r="P26">
        <v>6.6239999999999997</v>
      </c>
      <c r="Q26">
        <v>-0.36399999999999999</v>
      </c>
      <c r="R26">
        <v>5.2759999999999998</v>
      </c>
      <c r="S26">
        <v>1.135</v>
      </c>
      <c r="T26">
        <v>6.569</v>
      </c>
      <c r="U26">
        <v>2.0990000000000002</v>
      </c>
      <c r="V26">
        <v>4.883</v>
      </c>
      <c r="W26">
        <v>4.1710000000000003</v>
      </c>
      <c r="X26">
        <v>5.7140000000000004</v>
      </c>
      <c r="Y26">
        <v>6.3280000000000003</v>
      </c>
      <c r="Z26">
        <v>-0.58299999999999996</v>
      </c>
      <c r="AA26">
        <v>7.508</v>
      </c>
      <c r="AB26">
        <v>6.4960000000000004</v>
      </c>
      <c r="AC26">
        <v>2.4159999999999999</v>
      </c>
      <c r="AD26">
        <v>4.2370000000000001</v>
      </c>
      <c r="AE26">
        <v>4.8150000000000004</v>
      </c>
      <c r="AF26">
        <v>3.7349999999999999</v>
      </c>
      <c r="AG26">
        <v>1.008</v>
      </c>
      <c r="AH26">
        <v>-1.655</v>
      </c>
      <c r="AI26">
        <v>0.81799999999999995</v>
      </c>
      <c r="AJ26">
        <v>4.1900000000000004</v>
      </c>
      <c r="AK26">
        <v>5.077</v>
      </c>
      <c r="AL26">
        <v>3.7429999999999999</v>
      </c>
      <c r="AM26">
        <v>4.0419999999999998</v>
      </c>
      <c r="AN26">
        <v>6.7329999999999997</v>
      </c>
      <c r="AO26">
        <v>5.3109999999999999</v>
      </c>
      <c r="AP26">
        <v>2.5099999999999998</v>
      </c>
      <c r="AQ26">
        <v>7.0709999999999997</v>
      </c>
      <c r="AR26">
        <v>4.4619999999999997</v>
      </c>
      <c r="AS26">
        <v>8.3170000000000002</v>
      </c>
      <c r="AT26">
        <v>2.198</v>
      </c>
      <c r="AU26">
        <v>2.7069999999999999</v>
      </c>
      <c r="AV26">
        <v>2.9129999999999998</v>
      </c>
      <c r="AW26">
        <v>4.5289999999999999</v>
      </c>
      <c r="AX26">
        <v>3.875</v>
      </c>
      <c r="AY26">
        <v>3.6709999999999998</v>
      </c>
      <c r="AZ26">
        <v>-0.629</v>
      </c>
      <c r="BA26">
        <v>4.9740000000000002</v>
      </c>
      <c r="BB26">
        <v>-0.86099999999999999</v>
      </c>
      <c r="BC26">
        <v>1.6459999999999999</v>
      </c>
      <c r="BD26">
        <v>4.7699999999999996</v>
      </c>
      <c r="BE26">
        <v>3.91</v>
      </c>
      <c r="BF26">
        <v>5.4359999999999999</v>
      </c>
      <c r="BG26">
        <v>-2.214</v>
      </c>
      <c r="BH26">
        <v>-4.4530000000000003</v>
      </c>
      <c r="BI26">
        <v>2.9119999999999999</v>
      </c>
      <c r="BJ26">
        <v>6.9029999999999996</v>
      </c>
      <c r="BK26">
        <v>5.2149999999999999</v>
      </c>
      <c r="BL26">
        <v>4.2539999999999996</v>
      </c>
      <c r="BM26">
        <v>2.0289999999999999</v>
      </c>
      <c r="BN26">
        <v>4.2549999999999999</v>
      </c>
      <c r="BO26">
        <v>3.4620000000000002</v>
      </c>
      <c r="BP26">
        <v>6.7919999999999998</v>
      </c>
      <c r="BQ26">
        <v>-0.46300000000000002</v>
      </c>
      <c r="BR26">
        <v>4.5140000000000002</v>
      </c>
      <c r="BS26">
        <v>4.0919999999999996</v>
      </c>
      <c r="BT26">
        <v>1.3220000000000001</v>
      </c>
      <c r="BU26">
        <v>-1.98</v>
      </c>
      <c r="BV26">
        <v>2.2869999999999999</v>
      </c>
      <c r="BW26">
        <v>6.944</v>
      </c>
      <c r="BX26">
        <v>-2.7480000000000002</v>
      </c>
      <c r="BY26">
        <v>6.5529999999999999</v>
      </c>
      <c r="BZ26">
        <v>4.8579999999999997</v>
      </c>
      <c r="CA26">
        <v>5.5990000000000002</v>
      </c>
      <c r="CB26">
        <v>2.2879999999999998</v>
      </c>
      <c r="CC26">
        <v>4.4640000000000004</v>
      </c>
      <c r="CD26">
        <v>4.298</v>
      </c>
      <c r="CE26">
        <v>2.0950000000000002</v>
      </c>
      <c r="CF26">
        <v>4.5570000000000004</v>
      </c>
      <c r="CG26">
        <v>5.2489999999999997</v>
      </c>
      <c r="CH26">
        <v>2.8460000000000001</v>
      </c>
      <c r="CI26">
        <v>2.069</v>
      </c>
      <c r="CJ26">
        <v>6.415</v>
      </c>
      <c r="CK26">
        <v>5.5350000000000001</v>
      </c>
      <c r="CL26">
        <v>7.1609999999999996</v>
      </c>
      <c r="CM26">
        <v>4.968</v>
      </c>
      <c r="CN26">
        <v>6.1879999999999997</v>
      </c>
      <c r="CO26">
        <v>6.0830000000000002</v>
      </c>
      <c r="CP26">
        <v>-4.1449999999999996</v>
      </c>
      <c r="CQ26">
        <v>-0.497</v>
      </c>
      <c r="CR26">
        <v>4.835</v>
      </c>
      <c r="CS26">
        <v>4.774</v>
      </c>
      <c r="CT26">
        <v>0.629</v>
      </c>
      <c r="CU26">
        <v>6.367</v>
      </c>
      <c r="CV26">
        <v>-5.1520000000000001</v>
      </c>
      <c r="CW26">
        <v>5.5910000000000002</v>
      </c>
      <c r="CX26">
        <v>6.3079999999999998</v>
      </c>
      <c r="CY26">
        <v>3.3460000000000001</v>
      </c>
      <c r="CZ26">
        <v>6.7759999999999998</v>
      </c>
      <c r="DA26">
        <v>4.1719999999999997</v>
      </c>
      <c r="DB26">
        <v>4.0869999999999997</v>
      </c>
      <c r="DC26">
        <v>3.7080000000000002</v>
      </c>
      <c r="DD26">
        <v>5.625</v>
      </c>
      <c r="DE26">
        <v>-4.7919999999999998</v>
      </c>
      <c r="DF26">
        <v>4.2960000000000003</v>
      </c>
      <c r="DG26">
        <v>6.1840000000000002</v>
      </c>
      <c r="DH26">
        <v>3.9649999999999999</v>
      </c>
      <c r="DI26">
        <v>2.2069999999999999</v>
      </c>
      <c r="DJ26">
        <v>1.1180000000000001</v>
      </c>
      <c r="DK26">
        <v>6.3689999999999998</v>
      </c>
      <c r="DL26">
        <v>4.4390000000000001</v>
      </c>
      <c r="DM26">
        <v>4.3289999999999997</v>
      </c>
      <c r="DN26">
        <v>6.8410000000000002</v>
      </c>
      <c r="DO26">
        <v>3.899</v>
      </c>
      <c r="DP26">
        <v>6.6609999999999996</v>
      </c>
      <c r="DQ26">
        <v>-4.7080000000000002</v>
      </c>
      <c r="DR26">
        <v>7.1749999999999998</v>
      </c>
      <c r="DS26">
        <v>3.6680000000000001</v>
      </c>
      <c r="DT26">
        <v>6.415</v>
      </c>
      <c r="DU26">
        <v>7.2969999999999997</v>
      </c>
      <c r="DV26">
        <v>4.1959999999999997</v>
      </c>
      <c r="DW26">
        <v>4.21</v>
      </c>
      <c r="DX26">
        <v>1.85</v>
      </c>
      <c r="DY26">
        <v>5.7839999999999998</v>
      </c>
      <c r="DZ26">
        <v>4.8140000000000001</v>
      </c>
      <c r="EA26">
        <v>4.7910000000000004</v>
      </c>
      <c r="EB26">
        <v>5.492</v>
      </c>
      <c r="EC26">
        <v>5.6740000000000004</v>
      </c>
      <c r="ED26">
        <v>3.0430000000000001</v>
      </c>
      <c r="EE26">
        <v>5.1829999999999998</v>
      </c>
      <c r="EF26">
        <v>5.0620000000000003</v>
      </c>
      <c r="EG26">
        <v>0.30499999999999999</v>
      </c>
      <c r="EH26">
        <v>7.5179999999999998</v>
      </c>
      <c r="EI26">
        <v>2.6</v>
      </c>
      <c r="EJ26">
        <v>1.032</v>
      </c>
      <c r="EK26">
        <v>7.218</v>
      </c>
      <c r="EL26">
        <v>-1.284</v>
      </c>
      <c r="EM26">
        <v>6.931</v>
      </c>
      <c r="EN26">
        <v>4.4610000000000003</v>
      </c>
      <c r="EO26">
        <v>7.6219999999999999</v>
      </c>
      <c r="EP26">
        <v>0.69399999999999995</v>
      </c>
      <c r="EQ26">
        <v>-2.6720000000000002</v>
      </c>
      <c r="ER26">
        <v>5.76</v>
      </c>
      <c r="ES26">
        <v>5.4610000000000003</v>
      </c>
      <c r="ET26">
        <v>5.319</v>
      </c>
      <c r="EU26">
        <v>4.8949999999999996</v>
      </c>
      <c r="EV26">
        <v>1.8049999999999999</v>
      </c>
      <c r="EW26">
        <v>4.9470000000000001</v>
      </c>
      <c r="EX26">
        <v>5.774</v>
      </c>
      <c r="EY26">
        <v>2.4500000000000002</v>
      </c>
      <c r="EZ26">
        <v>3.7149999999999999</v>
      </c>
      <c r="FA26">
        <v>6.7149999999999999</v>
      </c>
      <c r="FB26">
        <v>5.6239999999999997</v>
      </c>
      <c r="FC26">
        <v>6.8579999999999997</v>
      </c>
      <c r="FD26">
        <v>4.8659999999999997</v>
      </c>
      <c r="FE26">
        <v>3.0219999999999998</v>
      </c>
      <c r="FF26">
        <v>2.2869999999999999</v>
      </c>
      <c r="FG26">
        <v>1.23</v>
      </c>
      <c r="FH26">
        <v>1.516</v>
      </c>
      <c r="FI26">
        <v>4.8280000000000003</v>
      </c>
      <c r="FJ26">
        <v>4.0330000000000004</v>
      </c>
      <c r="FK26">
        <v>-1.5069999999999999</v>
      </c>
      <c r="FL26">
        <v>5.327</v>
      </c>
      <c r="FM26">
        <v>4.1269999999999998</v>
      </c>
      <c r="FN26">
        <v>4.4260000000000002</v>
      </c>
      <c r="FO26">
        <v>5.0919999999999996</v>
      </c>
      <c r="FP26">
        <v>3.871</v>
      </c>
      <c r="FQ26">
        <v>1.994</v>
      </c>
      <c r="FR26">
        <v>5.484</v>
      </c>
      <c r="FS26">
        <v>1.3580000000000001</v>
      </c>
      <c r="FT26">
        <v>6.3</v>
      </c>
      <c r="FU26">
        <v>5.2370000000000001</v>
      </c>
      <c r="FV26">
        <v>5.3680000000000003</v>
      </c>
      <c r="FW26">
        <v>4.899</v>
      </c>
      <c r="FX26">
        <v>-2.3180000000000001</v>
      </c>
      <c r="FY26">
        <v>6.4080000000000004</v>
      </c>
      <c r="FZ26">
        <v>0.32600000000000001</v>
      </c>
      <c r="GA26">
        <v>-2.0790000000000002</v>
      </c>
      <c r="GB26">
        <v>1.413</v>
      </c>
      <c r="GC26">
        <v>6.5179999999999998</v>
      </c>
      <c r="GD26">
        <v>1.5269999999999999</v>
      </c>
      <c r="GE26">
        <v>2.8460000000000001</v>
      </c>
      <c r="GF26">
        <v>4.51</v>
      </c>
      <c r="GG26">
        <v>2.9180000000000001</v>
      </c>
      <c r="GH26">
        <v>4.202</v>
      </c>
      <c r="GI26">
        <v>7.7060000000000004</v>
      </c>
      <c r="GJ26">
        <v>6.6449999999999996</v>
      </c>
      <c r="GK26">
        <v>4.8600000000000003</v>
      </c>
      <c r="GL26">
        <v>0.71699999999999997</v>
      </c>
      <c r="GM26">
        <v>2.6110000000000002</v>
      </c>
      <c r="GN26">
        <v>7.0880000000000001</v>
      </c>
      <c r="GO26">
        <v>3.2610000000000001</v>
      </c>
      <c r="GP26">
        <v>4.556</v>
      </c>
      <c r="GQ26">
        <v>2.5499999999999998</v>
      </c>
      <c r="GR26">
        <v>-0.32300000000000001</v>
      </c>
      <c r="GS26">
        <v>4.6360000000000001</v>
      </c>
      <c r="GT26">
        <v>4.9509999999999996</v>
      </c>
      <c r="GU26">
        <v>-4.0890000000000004</v>
      </c>
      <c r="GV26">
        <v>7.3090000000000002</v>
      </c>
      <c r="GW26">
        <v>7.2539999999999996</v>
      </c>
      <c r="GX26">
        <v>6.4630000000000001</v>
      </c>
      <c r="GY26">
        <v>4.6980000000000004</v>
      </c>
      <c r="GZ26">
        <v>4.97</v>
      </c>
      <c r="HA26">
        <v>3.26</v>
      </c>
      <c r="HB26">
        <v>0.26500000000000001</v>
      </c>
      <c r="HC26">
        <v>-2.9279999999999999</v>
      </c>
      <c r="HD26">
        <v>3.9620000000000002</v>
      </c>
      <c r="HE26">
        <v>5.8769999999999998</v>
      </c>
      <c r="HF26">
        <v>-0.60699999999999998</v>
      </c>
      <c r="HG26">
        <v>4.9370000000000003</v>
      </c>
      <c r="HH26">
        <v>1.252</v>
      </c>
      <c r="HI26">
        <v>2.7869999999999999</v>
      </c>
      <c r="HJ26">
        <v>3.0110000000000001</v>
      </c>
      <c r="HK26">
        <v>6.7619999999999996</v>
      </c>
      <c r="HL26">
        <v>7.157</v>
      </c>
      <c r="HM26">
        <v>-1.79</v>
      </c>
      <c r="HN26">
        <v>4.8019999999999996</v>
      </c>
      <c r="HO26">
        <v>-0.68500000000000005</v>
      </c>
      <c r="HP26">
        <v>5.7560000000000002</v>
      </c>
      <c r="HQ26">
        <v>4.226</v>
      </c>
      <c r="HR26">
        <v>-0.39</v>
      </c>
      <c r="HS26">
        <v>-2.323</v>
      </c>
      <c r="HT26">
        <v>2.2080000000000002</v>
      </c>
      <c r="HU26">
        <v>4.3239999999999998</v>
      </c>
      <c r="HV26">
        <v>2.7120000000000002</v>
      </c>
      <c r="HW26">
        <v>4.9930000000000003</v>
      </c>
      <c r="HX26">
        <v>4.3259999999999996</v>
      </c>
      <c r="HY26">
        <v>6.6210000000000004</v>
      </c>
      <c r="HZ26">
        <v>5.8250000000000002</v>
      </c>
      <c r="IA26">
        <v>5.0069999999999997</v>
      </c>
      <c r="IB26">
        <v>4.4770000000000003</v>
      </c>
      <c r="IC26">
        <v>2.851</v>
      </c>
      <c r="ID26">
        <v>0.65100000000000002</v>
      </c>
      <c r="IE26">
        <v>5.0590000000000002</v>
      </c>
      <c r="IF26">
        <v>7.2969999999999997</v>
      </c>
      <c r="IG26">
        <v>6.9390000000000001</v>
      </c>
      <c r="IH26">
        <v>2.3620000000000001</v>
      </c>
      <c r="II26">
        <v>6.1790000000000003</v>
      </c>
      <c r="IJ26">
        <v>4.6680000000000001</v>
      </c>
      <c r="IK26">
        <v>4.4400000000000004</v>
      </c>
      <c r="IL26">
        <v>7.8810000000000002</v>
      </c>
      <c r="IM26">
        <v>5.5519999999999996</v>
      </c>
      <c r="IN26">
        <v>4.3719999999999999</v>
      </c>
      <c r="IO26">
        <v>4.7279999999999998</v>
      </c>
      <c r="IP26">
        <v>4.5839999999999996</v>
      </c>
      <c r="IQ26">
        <v>-1.87</v>
      </c>
      <c r="IR26">
        <v>2.8719999999999999</v>
      </c>
      <c r="IS26">
        <v>4.7240000000000002</v>
      </c>
      <c r="IT26">
        <v>6.1619999999999999</v>
      </c>
      <c r="IU26">
        <v>5.6180000000000003</v>
      </c>
      <c r="IV26">
        <v>4.2889999999999997</v>
      </c>
      <c r="IW26">
        <v>1.413</v>
      </c>
      <c r="IX26">
        <v>4.5069999999999997</v>
      </c>
      <c r="IY26">
        <v>4.4829999999999997</v>
      </c>
      <c r="IZ26">
        <v>3.76</v>
      </c>
      <c r="JA26">
        <v>5.5449999999999999</v>
      </c>
      <c r="JB26">
        <v>4.6130000000000004</v>
      </c>
      <c r="JC26">
        <v>4.8490000000000002</v>
      </c>
      <c r="JD26">
        <v>3.9329999999999998</v>
      </c>
      <c r="JE26">
        <v>1.3480000000000001</v>
      </c>
      <c r="JF26">
        <v>5.3129999999999997</v>
      </c>
      <c r="JG26">
        <v>7.085</v>
      </c>
      <c r="JH26">
        <v>4.298</v>
      </c>
      <c r="JI26">
        <v>-2.2440000000000002</v>
      </c>
      <c r="JJ26">
        <v>4.4580000000000002</v>
      </c>
      <c r="JK26">
        <v>-0.16700000000000001</v>
      </c>
      <c r="JL26">
        <v>4.1310000000000002</v>
      </c>
      <c r="JM26">
        <v>6.8479999999999999</v>
      </c>
      <c r="JN26">
        <v>5.008</v>
      </c>
      <c r="JO26">
        <v>5.5819999999999999</v>
      </c>
      <c r="JP26">
        <v>0.79300000000000004</v>
      </c>
      <c r="JQ26">
        <v>4.6790000000000003</v>
      </c>
      <c r="JR26">
        <v>4.8339999999999996</v>
      </c>
      <c r="JS26">
        <v>5.6769999999999996</v>
      </c>
      <c r="JT26">
        <v>3.7320000000000002</v>
      </c>
      <c r="JU26">
        <v>4.8529999999999998</v>
      </c>
      <c r="JV26">
        <v>4.2300000000000004</v>
      </c>
      <c r="JW26">
        <v>7.6520000000000001</v>
      </c>
      <c r="JX26">
        <v>4.5890000000000004</v>
      </c>
      <c r="JY26">
        <v>-1.2130000000000001</v>
      </c>
      <c r="JZ26">
        <v>-0.23300000000000001</v>
      </c>
      <c r="KA26">
        <v>3.4340000000000002</v>
      </c>
      <c r="KB26">
        <v>4.3129999999999997</v>
      </c>
      <c r="KC26">
        <v>4.5039999999999996</v>
      </c>
      <c r="KD26">
        <v>5.093</v>
      </c>
      <c r="KE26">
        <v>-0.315</v>
      </c>
      <c r="KF26">
        <v>-1.0429999999999999</v>
      </c>
      <c r="KG26">
        <v>6.4589999999999996</v>
      </c>
      <c r="KH26">
        <v>7.665</v>
      </c>
      <c r="KI26">
        <v>5.58</v>
      </c>
      <c r="KJ26">
        <v>3.9350000000000001</v>
      </c>
      <c r="KK26">
        <v>5.7690000000000001</v>
      </c>
      <c r="KL26">
        <v>1.75</v>
      </c>
      <c r="KM26">
        <v>-0.21099999999999999</v>
      </c>
      <c r="KN26">
        <v>4.53</v>
      </c>
      <c r="KO26">
        <v>3.4910000000000001</v>
      </c>
      <c r="KP26">
        <v>1.4890000000000001</v>
      </c>
      <c r="KQ26">
        <v>-0.66200000000000003</v>
      </c>
      <c r="KR26">
        <v>-0.34200000000000003</v>
      </c>
    </row>
    <row r="27" spans="1:309" x14ac:dyDescent="0.25">
      <c r="A27">
        <v>2015</v>
      </c>
      <c r="B27">
        <v>12</v>
      </c>
      <c r="C27">
        <v>-4.7329999999999997</v>
      </c>
      <c r="D27">
        <v>3.335</v>
      </c>
      <c r="E27">
        <v>4.944</v>
      </c>
      <c r="F27">
        <v>4.3529999999999998</v>
      </c>
      <c r="G27">
        <v>3.9750000000000001</v>
      </c>
      <c r="H27">
        <v>2.4420000000000002</v>
      </c>
      <c r="I27">
        <v>-6.7850000000000001</v>
      </c>
      <c r="J27">
        <v>-5.4180000000000001</v>
      </c>
      <c r="K27">
        <v>2.032</v>
      </c>
      <c r="L27">
        <v>2.9409999999999998</v>
      </c>
      <c r="M27">
        <v>0.83299999999999996</v>
      </c>
      <c r="N27">
        <v>3.0219999999999998</v>
      </c>
      <c r="O27">
        <v>-2.9470000000000001</v>
      </c>
      <c r="P27">
        <v>5.7329999999999997</v>
      </c>
      <c r="Q27">
        <v>-5.0720000000000001</v>
      </c>
      <c r="R27">
        <v>4.2309999999999999</v>
      </c>
      <c r="S27">
        <v>-0.36399999999999999</v>
      </c>
      <c r="T27">
        <v>5.1760000000000002</v>
      </c>
      <c r="U27">
        <v>0.64500000000000002</v>
      </c>
      <c r="V27">
        <v>3.8559999999999999</v>
      </c>
      <c r="W27">
        <v>3.0950000000000002</v>
      </c>
      <c r="X27">
        <v>5.14</v>
      </c>
      <c r="Y27">
        <v>5.5819999999999999</v>
      </c>
      <c r="Z27">
        <v>-2.7629999999999999</v>
      </c>
      <c r="AA27">
        <v>6.2480000000000002</v>
      </c>
      <c r="AB27">
        <v>5.6319999999999997</v>
      </c>
      <c r="AC27">
        <v>0.90800000000000003</v>
      </c>
      <c r="AD27">
        <v>2.8879999999999999</v>
      </c>
      <c r="AE27">
        <v>3.734</v>
      </c>
      <c r="AF27">
        <v>2.0550000000000002</v>
      </c>
      <c r="AG27">
        <v>-0.63900000000000001</v>
      </c>
      <c r="AH27">
        <v>-4.8289999999999997</v>
      </c>
      <c r="AI27">
        <v>-0.51700000000000002</v>
      </c>
      <c r="AJ27">
        <v>3.1059999999999999</v>
      </c>
      <c r="AK27">
        <v>3.8460000000000001</v>
      </c>
      <c r="AL27">
        <v>2.319</v>
      </c>
      <c r="AM27">
        <v>2.7210000000000001</v>
      </c>
      <c r="AN27">
        <v>5.6710000000000003</v>
      </c>
      <c r="AO27">
        <v>4.0949999999999998</v>
      </c>
      <c r="AP27">
        <v>0.96699999999999997</v>
      </c>
      <c r="AQ27">
        <v>5.758</v>
      </c>
      <c r="AR27">
        <v>3.38</v>
      </c>
      <c r="AS27">
        <v>6.8310000000000004</v>
      </c>
      <c r="AT27">
        <v>0.628</v>
      </c>
      <c r="AU27">
        <v>0.93200000000000005</v>
      </c>
      <c r="AV27">
        <v>1.4970000000000001</v>
      </c>
      <c r="AW27">
        <v>3.28</v>
      </c>
      <c r="AX27">
        <v>2.9409999999999998</v>
      </c>
      <c r="AY27">
        <v>2.2189999999999999</v>
      </c>
      <c r="AZ27">
        <v>-3.97</v>
      </c>
      <c r="BA27">
        <v>3.601</v>
      </c>
      <c r="BB27">
        <v>-2.9430000000000001</v>
      </c>
      <c r="BC27">
        <v>0.19800000000000001</v>
      </c>
      <c r="BD27">
        <v>3.8690000000000002</v>
      </c>
      <c r="BE27">
        <v>3.1110000000000002</v>
      </c>
      <c r="BF27">
        <v>4.0460000000000003</v>
      </c>
      <c r="BG27">
        <v>-5.1180000000000003</v>
      </c>
      <c r="BH27">
        <v>-7.3150000000000004</v>
      </c>
      <c r="BI27">
        <v>1.375</v>
      </c>
      <c r="BJ27">
        <v>5.4880000000000004</v>
      </c>
      <c r="BK27">
        <v>3.8730000000000002</v>
      </c>
      <c r="BL27">
        <v>2.9319999999999999</v>
      </c>
      <c r="BM27">
        <v>0.214</v>
      </c>
      <c r="BN27">
        <v>2.8730000000000002</v>
      </c>
      <c r="BO27">
        <v>1.87</v>
      </c>
      <c r="BP27">
        <v>5.7220000000000004</v>
      </c>
      <c r="BQ27">
        <v>-3.1480000000000001</v>
      </c>
      <c r="BR27">
        <v>3.0179999999999998</v>
      </c>
      <c r="BS27">
        <v>3.0670000000000002</v>
      </c>
      <c r="BT27">
        <v>-3.077</v>
      </c>
      <c r="BU27">
        <v>-3.1840000000000002</v>
      </c>
      <c r="BV27">
        <v>0.63800000000000001</v>
      </c>
      <c r="BW27">
        <v>5.9669999999999996</v>
      </c>
      <c r="BX27">
        <v>-3.665</v>
      </c>
      <c r="BY27">
        <v>4.5720000000000001</v>
      </c>
      <c r="BZ27">
        <v>3.7909999999999999</v>
      </c>
      <c r="CA27">
        <v>4.5039999999999996</v>
      </c>
      <c r="CB27">
        <v>0.47699999999999998</v>
      </c>
      <c r="CC27">
        <v>3.2749999999999999</v>
      </c>
      <c r="CD27">
        <v>3.1840000000000002</v>
      </c>
      <c r="CE27">
        <v>0.624</v>
      </c>
      <c r="CF27">
        <v>3.6150000000000002</v>
      </c>
      <c r="CG27">
        <v>4.4960000000000004</v>
      </c>
      <c r="CH27">
        <v>1.093</v>
      </c>
      <c r="CI27">
        <v>-0.28199999999999997</v>
      </c>
      <c r="CJ27">
        <v>5.173</v>
      </c>
      <c r="CK27">
        <v>4.9530000000000003</v>
      </c>
      <c r="CL27">
        <v>6.1710000000000003</v>
      </c>
      <c r="CM27">
        <v>3.8959999999999999</v>
      </c>
      <c r="CN27">
        <v>5.3040000000000003</v>
      </c>
      <c r="CO27">
        <v>5.2439999999999998</v>
      </c>
      <c r="CP27">
        <v>-7.15</v>
      </c>
      <c r="CQ27">
        <v>-4.6550000000000002</v>
      </c>
      <c r="CR27">
        <v>3.7480000000000002</v>
      </c>
      <c r="CS27">
        <v>3.7320000000000002</v>
      </c>
      <c r="CT27">
        <v>-4.2880000000000003</v>
      </c>
      <c r="CU27">
        <v>5.1319999999999997</v>
      </c>
      <c r="CV27">
        <v>-8.5980000000000008</v>
      </c>
      <c r="CW27">
        <v>4.3879999999999999</v>
      </c>
      <c r="CX27">
        <v>5.3390000000000004</v>
      </c>
      <c r="CY27">
        <v>1.6040000000000001</v>
      </c>
      <c r="CZ27">
        <v>5.4589999999999996</v>
      </c>
      <c r="DA27">
        <v>2.609</v>
      </c>
      <c r="DB27">
        <v>2.9609999999999999</v>
      </c>
      <c r="DC27">
        <v>2.331</v>
      </c>
      <c r="DD27">
        <v>4.62</v>
      </c>
      <c r="DE27">
        <v>-6.2329999999999997</v>
      </c>
      <c r="DF27">
        <v>3.4079999999999999</v>
      </c>
      <c r="DG27">
        <v>5.4039999999999999</v>
      </c>
      <c r="DH27">
        <v>2.5369999999999999</v>
      </c>
      <c r="DI27">
        <v>0.48199999999999998</v>
      </c>
      <c r="DJ27">
        <v>-2.0550000000000002</v>
      </c>
      <c r="DK27">
        <v>5.7030000000000003</v>
      </c>
      <c r="DL27">
        <v>2.629</v>
      </c>
      <c r="DM27">
        <v>2.9049999999999998</v>
      </c>
      <c r="DN27">
        <v>5.4779999999999998</v>
      </c>
      <c r="DO27">
        <v>2.4169999999999998</v>
      </c>
      <c r="DP27">
        <v>5.3109999999999999</v>
      </c>
      <c r="DQ27">
        <v>-7.1020000000000003</v>
      </c>
      <c r="DR27">
        <v>5.9429999999999996</v>
      </c>
      <c r="DS27">
        <v>2.085</v>
      </c>
      <c r="DT27">
        <v>5.6680000000000001</v>
      </c>
      <c r="DU27">
        <v>6.0830000000000002</v>
      </c>
      <c r="DV27">
        <v>2.867</v>
      </c>
      <c r="DW27">
        <v>2.774</v>
      </c>
      <c r="DX27">
        <v>0.44600000000000001</v>
      </c>
      <c r="DY27">
        <v>4.6219999999999999</v>
      </c>
      <c r="DZ27">
        <v>3.6779999999999999</v>
      </c>
      <c r="EA27">
        <v>3.7349999999999999</v>
      </c>
      <c r="EB27">
        <v>4.0839999999999996</v>
      </c>
      <c r="EC27">
        <v>4.2949999999999999</v>
      </c>
      <c r="ED27">
        <v>1.3939999999999999</v>
      </c>
      <c r="EE27">
        <v>4.1479999999999997</v>
      </c>
      <c r="EF27">
        <v>4.32</v>
      </c>
      <c r="EG27">
        <v>-1.5980000000000001</v>
      </c>
      <c r="EH27">
        <v>6.2389999999999999</v>
      </c>
      <c r="EI27">
        <v>1.0109999999999999</v>
      </c>
      <c r="EJ27">
        <v>-3.395</v>
      </c>
      <c r="EK27">
        <v>6.016</v>
      </c>
      <c r="EL27">
        <v>-4.5860000000000003</v>
      </c>
      <c r="EM27">
        <v>5.4820000000000002</v>
      </c>
      <c r="EN27">
        <v>3.5720000000000001</v>
      </c>
      <c r="EO27">
        <v>6.3289999999999997</v>
      </c>
      <c r="EP27">
        <v>-0.94499999999999995</v>
      </c>
      <c r="EQ27">
        <v>-5.4160000000000004</v>
      </c>
      <c r="ER27">
        <v>4.42</v>
      </c>
      <c r="ES27">
        <v>4.8920000000000003</v>
      </c>
      <c r="ET27">
        <v>4.0590000000000002</v>
      </c>
      <c r="EU27">
        <v>3.9630000000000001</v>
      </c>
      <c r="EV27">
        <v>0.46100000000000002</v>
      </c>
      <c r="EW27">
        <v>3.6379999999999999</v>
      </c>
      <c r="EX27">
        <v>4.2919999999999998</v>
      </c>
      <c r="EY27">
        <v>0.80900000000000005</v>
      </c>
      <c r="EZ27">
        <v>2.2429999999999999</v>
      </c>
      <c r="FA27">
        <v>5.3940000000000001</v>
      </c>
      <c r="FB27">
        <v>4.7030000000000003</v>
      </c>
      <c r="FC27">
        <v>5.383</v>
      </c>
      <c r="FD27">
        <v>3.863</v>
      </c>
      <c r="FE27">
        <v>1.383</v>
      </c>
      <c r="FF27">
        <v>0.78</v>
      </c>
      <c r="FG27">
        <v>-0.59299999999999997</v>
      </c>
      <c r="FH27">
        <v>-1.2809999999999999</v>
      </c>
      <c r="FI27">
        <v>3.6880000000000002</v>
      </c>
      <c r="FJ27">
        <v>2.62</v>
      </c>
      <c r="FK27">
        <v>-4.4960000000000004</v>
      </c>
      <c r="FL27">
        <v>4.0519999999999996</v>
      </c>
      <c r="FM27">
        <v>3.1659999999999999</v>
      </c>
      <c r="FN27">
        <v>3.6949999999999998</v>
      </c>
      <c r="FO27">
        <v>3.7719999999999998</v>
      </c>
      <c r="FP27">
        <v>2.8170000000000002</v>
      </c>
      <c r="FQ27">
        <v>0.39</v>
      </c>
      <c r="FR27">
        <v>4.8120000000000003</v>
      </c>
      <c r="FS27">
        <v>-0.108</v>
      </c>
      <c r="FT27">
        <v>4.9219999999999997</v>
      </c>
      <c r="FU27">
        <v>4.6879999999999997</v>
      </c>
      <c r="FV27">
        <v>4.5339999999999998</v>
      </c>
      <c r="FW27">
        <v>4.1840000000000002</v>
      </c>
      <c r="FX27">
        <v>-7.625</v>
      </c>
      <c r="FY27">
        <v>5.1609999999999996</v>
      </c>
      <c r="FZ27">
        <v>-3.3929999999999998</v>
      </c>
      <c r="GA27">
        <v>-3.2269999999999999</v>
      </c>
      <c r="GB27">
        <v>-1.522</v>
      </c>
      <c r="GC27">
        <v>5.383</v>
      </c>
      <c r="GD27">
        <v>3.6999999999999998E-2</v>
      </c>
      <c r="GE27">
        <v>1.274</v>
      </c>
      <c r="GF27">
        <v>3.4769999999999999</v>
      </c>
      <c r="GG27">
        <v>1.2190000000000001</v>
      </c>
      <c r="GH27">
        <v>2.847</v>
      </c>
      <c r="GI27">
        <v>6.39</v>
      </c>
      <c r="GJ27">
        <v>5.57</v>
      </c>
      <c r="GK27">
        <v>3.617</v>
      </c>
      <c r="GL27">
        <v>-2.754</v>
      </c>
      <c r="GM27">
        <v>1.147</v>
      </c>
      <c r="GN27">
        <v>5.8220000000000001</v>
      </c>
      <c r="GO27">
        <v>1.75</v>
      </c>
      <c r="GP27">
        <v>3.3540000000000001</v>
      </c>
      <c r="GQ27">
        <v>0.97499999999999998</v>
      </c>
      <c r="GR27">
        <v>-3.601</v>
      </c>
      <c r="GS27">
        <v>3.496</v>
      </c>
      <c r="GT27">
        <v>3.9060000000000001</v>
      </c>
      <c r="GU27">
        <v>-6.3129999999999997</v>
      </c>
      <c r="GV27">
        <v>5.8860000000000001</v>
      </c>
      <c r="GW27">
        <v>6.0579999999999998</v>
      </c>
      <c r="GX27">
        <v>5.069</v>
      </c>
      <c r="GY27">
        <v>3.6269999999999998</v>
      </c>
      <c r="GZ27">
        <v>3.9220000000000002</v>
      </c>
      <c r="HA27">
        <v>1.482</v>
      </c>
      <c r="HB27">
        <v>-0.83399999999999996</v>
      </c>
      <c r="HC27">
        <v>-5.3109999999999999</v>
      </c>
      <c r="HD27">
        <v>2.79</v>
      </c>
      <c r="HE27">
        <v>4.4390000000000001</v>
      </c>
      <c r="HF27">
        <v>-3.5590000000000002</v>
      </c>
      <c r="HG27">
        <v>3.8740000000000001</v>
      </c>
      <c r="HH27">
        <v>-0.69399999999999995</v>
      </c>
      <c r="HI27">
        <v>1.218</v>
      </c>
      <c r="HJ27">
        <v>1.4419999999999999</v>
      </c>
      <c r="HK27">
        <v>5.6619999999999999</v>
      </c>
      <c r="HL27">
        <v>5.9269999999999996</v>
      </c>
      <c r="HM27">
        <v>-2.3130000000000002</v>
      </c>
      <c r="HN27">
        <v>3.8919999999999999</v>
      </c>
      <c r="HO27">
        <v>-1.7549999999999999</v>
      </c>
      <c r="HP27">
        <v>4.2389999999999999</v>
      </c>
      <c r="HQ27">
        <v>3.0859999999999999</v>
      </c>
      <c r="HR27">
        <v>-1.891</v>
      </c>
      <c r="HS27">
        <v>-3.4649999999999999</v>
      </c>
      <c r="HT27">
        <v>0.61699999999999999</v>
      </c>
      <c r="HU27">
        <v>3.2879999999999998</v>
      </c>
      <c r="HV27">
        <v>1.3240000000000001</v>
      </c>
      <c r="HW27">
        <v>3.8889999999999998</v>
      </c>
      <c r="HX27">
        <v>3.3010000000000002</v>
      </c>
      <c r="HY27">
        <v>5.7080000000000002</v>
      </c>
      <c r="HZ27">
        <v>4.4039999999999999</v>
      </c>
      <c r="IA27">
        <v>4.0220000000000002</v>
      </c>
      <c r="IB27">
        <v>3.4580000000000002</v>
      </c>
      <c r="IC27">
        <v>1.4630000000000001</v>
      </c>
      <c r="ID27">
        <v>-2.1619999999999999</v>
      </c>
      <c r="IE27">
        <v>4.1459999999999999</v>
      </c>
      <c r="IF27">
        <v>5.9089999999999998</v>
      </c>
      <c r="IG27">
        <v>5.6689999999999996</v>
      </c>
      <c r="IH27">
        <v>0.32600000000000001</v>
      </c>
      <c r="II27">
        <v>5.0289999999999999</v>
      </c>
      <c r="IJ27">
        <v>3.7469999999999999</v>
      </c>
      <c r="IK27">
        <v>3.5150000000000001</v>
      </c>
      <c r="IL27">
        <v>6.476</v>
      </c>
      <c r="IM27">
        <v>4.141</v>
      </c>
      <c r="IN27">
        <v>3.419</v>
      </c>
      <c r="IO27">
        <v>3.7269999999999999</v>
      </c>
      <c r="IP27">
        <v>3.4540000000000002</v>
      </c>
      <c r="IQ27">
        <v>-3.1389999999999998</v>
      </c>
      <c r="IR27">
        <v>1.363</v>
      </c>
      <c r="IS27">
        <v>3.5649999999999999</v>
      </c>
      <c r="IT27">
        <v>4.6710000000000003</v>
      </c>
      <c r="IU27">
        <v>4.7329999999999997</v>
      </c>
      <c r="IV27">
        <v>3.28</v>
      </c>
      <c r="IW27">
        <v>-1.627</v>
      </c>
      <c r="IX27">
        <v>3.266</v>
      </c>
      <c r="IY27">
        <v>3.2629999999999999</v>
      </c>
      <c r="IZ27">
        <v>2.2839999999999998</v>
      </c>
      <c r="JA27">
        <v>4.1529999999999996</v>
      </c>
      <c r="JB27">
        <v>3.593</v>
      </c>
      <c r="JC27">
        <v>4.1219999999999999</v>
      </c>
      <c r="JD27">
        <v>2.6829999999999998</v>
      </c>
      <c r="JE27">
        <v>-0.26900000000000002</v>
      </c>
      <c r="JF27">
        <v>4.0199999999999996</v>
      </c>
      <c r="JG27">
        <v>5.6379999999999999</v>
      </c>
      <c r="JH27">
        <v>3.254</v>
      </c>
      <c r="JI27">
        <v>-5.1280000000000001</v>
      </c>
      <c r="JJ27">
        <v>3.4990000000000001</v>
      </c>
      <c r="JK27">
        <v>-4.0679999999999996</v>
      </c>
      <c r="JL27">
        <v>2.9049999999999998</v>
      </c>
      <c r="JM27">
        <v>4.7220000000000004</v>
      </c>
      <c r="JN27">
        <v>3.9129999999999998</v>
      </c>
      <c r="JO27">
        <v>4.1989999999999998</v>
      </c>
      <c r="JP27">
        <v>-2.1709999999999998</v>
      </c>
      <c r="JQ27">
        <v>3.633</v>
      </c>
      <c r="JR27">
        <v>3.964</v>
      </c>
      <c r="JS27">
        <v>4.7770000000000001</v>
      </c>
      <c r="JT27">
        <v>2.1680000000000001</v>
      </c>
      <c r="JU27">
        <v>3.9329999999999998</v>
      </c>
      <c r="JV27">
        <v>3.2</v>
      </c>
      <c r="JW27">
        <v>6.2489999999999997</v>
      </c>
      <c r="JX27">
        <v>3.472</v>
      </c>
      <c r="JY27">
        <v>-2.9990000000000001</v>
      </c>
      <c r="JZ27">
        <v>-1.53</v>
      </c>
      <c r="KA27">
        <v>2.2450000000000001</v>
      </c>
      <c r="KB27">
        <v>3.2919999999999998</v>
      </c>
      <c r="KC27">
        <v>3.5830000000000002</v>
      </c>
      <c r="KD27">
        <v>4.46</v>
      </c>
      <c r="KE27">
        <v>-1.91</v>
      </c>
      <c r="KF27">
        <v>-5.5069999999999997</v>
      </c>
      <c r="KG27">
        <v>5.6710000000000003</v>
      </c>
      <c r="KH27">
        <v>6.2009999999999996</v>
      </c>
      <c r="KI27">
        <v>4.4059999999999997</v>
      </c>
      <c r="KJ27">
        <v>2.4209999999999998</v>
      </c>
      <c r="KK27">
        <v>5.1369999999999996</v>
      </c>
      <c r="KL27">
        <v>-1.5289999999999999</v>
      </c>
      <c r="KM27">
        <v>-1.724</v>
      </c>
      <c r="KN27">
        <v>3.415</v>
      </c>
      <c r="KO27">
        <v>1.833</v>
      </c>
      <c r="KP27">
        <v>-0.59699999999999998</v>
      </c>
      <c r="KQ27">
        <v>-6.1769999999999996</v>
      </c>
      <c r="KR27">
        <v>-6.2910000000000004</v>
      </c>
    </row>
    <row r="28" spans="1:309" x14ac:dyDescent="0.25">
      <c r="A28">
        <v>2016</v>
      </c>
      <c r="B28">
        <v>1</v>
      </c>
      <c r="C28">
        <v>-13.776999999999999</v>
      </c>
      <c r="D28">
        <v>-4.8099999999999996</v>
      </c>
      <c r="E28">
        <v>-2.7970000000000002</v>
      </c>
      <c r="F28">
        <v>-3.6040000000000001</v>
      </c>
      <c r="G28">
        <v>-3.7410000000000001</v>
      </c>
      <c r="H28">
        <v>-11.568</v>
      </c>
      <c r="I28">
        <v>-6.8159999999999998</v>
      </c>
      <c r="J28">
        <v>-16.547000000000001</v>
      </c>
      <c r="K28">
        <v>-14.614000000000001</v>
      </c>
      <c r="L28">
        <v>-4.4950000000000001</v>
      </c>
      <c r="M28">
        <v>-1.413</v>
      </c>
      <c r="N28">
        <v>-7.5780000000000003</v>
      </c>
      <c r="O28">
        <v>-1.647</v>
      </c>
      <c r="P28">
        <v>-5.5789999999999997</v>
      </c>
      <c r="Q28">
        <v>-12.276999999999999</v>
      </c>
      <c r="R28">
        <v>-1.508</v>
      </c>
      <c r="S28">
        <v>-15.422000000000001</v>
      </c>
      <c r="T28">
        <v>-8.6340000000000003</v>
      </c>
      <c r="U28">
        <v>-3.9580000000000002</v>
      </c>
      <c r="V28">
        <v>-3.3889999999999998</v>
      </c>
      <c r="W28">
        <v>-1.742</v>
      </c>
      <c r="X28">
        <v>-4.9359999999999999</v>
      </c>
      <c r="Y28">
        <v>-12.157</v>
      </c>
      <c r="Z28">
        <v>-8</v>
      </c>
      <c r="AA28">
        <v>-2.1379999999999999</v>
      </c>
      <c r="AB28">
        <v>-4.7350000000000003</v>
      </c>
      <c r="AC28">
        <v>-1.3240000000000001</v>
      </c>
      <c r="AD28">
        <v>-14.103</v>
      </c>
      <c r="AE28">
        <v>-0.46899999999999997</v>
      </c>
      <c r="AF28">
        <v>-8.8870000000000005</v>
      </c>
      <c r="AG28">
        <v>-4.5149999999999997</v>
      </c>
      <c r="AH28">
        <v>-7.0949999999999998</v>
      </c>
      <c r="AI28">
        <v>-8.7680000000000007</v>
      </c>
      <c r="AJ28">
        <v>-9.1940000000000008</v>
      </c>
      <c r="AK28">
        <v>-5.4690000000000003</v>
      </c>
      <c r="AL28">
        <v>-4.6920000000000002</v>
      </c>
      <c r="AM28">
        <v>-3.355</v>
      </c>
      <c r="AN28">
        <v>-6.23</v>
      </c>
      <c r="AO28">
        <v>-6.15</v>
      </c>
      <c r="AP28">
        <v>-1.4910000000000001</v>
      </c>
      <c r="AQ28">
        <v>-3.7669999999999999</v>
      </c>
      <c r="AR28">
        <v>-7.6349999999999998</v>
      </c>
      <c r="AS28">
        <v>-2.056</v>
      </c>
      <c r="AT28">
        <v>-4.3330000000000002</v>
      </c>
      <c r="AU28">
        <v>-4.4139999999999997</v>
      </c>
      <c r="AV28">
        <v>-7.9690000000000003</v>
      </c>
      <c r="AW28">
        <v>-6.3090000000000002</v>
      </c>
      <c r="AX28">
        <v>-5.3860000000000001</v>
      </c>
      <c r="AY28">
        <v>-11.919</v>
      </c>
      <c r="AZ28">
        <v>-7.0750000000000002</v>
      </c>
      <c r="BA28">
        <v>0.76700000000000002</v>
      </c>
      <c r="BB28">
        <v>-5.96</v>
      </c>
      <c r="BC28">
        <v>-14.33</v>
      </c>
      <c r="BD28">
        <v>-6.3780000000000001</v>
      </c>
      <c r="BE28">
        <v>-4.0430000000000001</v>
      </c>
      <c r="BF28">
        <v>-2.242</v>
      </c>
      <c r="BG28">
        <v>-12.76</v>
      </c>
      <c r="BH28">
        <v>-8.2230000000000008</v>
      </c>
      <c r="BI28">
        <v>-16.178000000000001</v>
      </c>
      <c r="BJ28">
        <v>-5.5960000000000001</v>
      </c>
      <c r="BK28">
        <v>-4.1760000000000002</v>
      </c>
      <c r="BL28">
        <v>-3.952</v>
      </c>
      <c r="BM28">
        <v>-3.8780000000000001</v>
      </c>
      <c r="BN28">
        <v>-3.2349999999999999</v>
      </c>
      <c r="BO28">
        <v>-5.4169999999999998</v>
      </c>
      <c r="BP28">
        <v>-9.17</v>
      </c>
      <c r="BQ28">
        <v>-6.3460000000000001</v>
      </c>
      <c r="BR28">
        <v>-8.1329999999999991</v>
      </c>
      <c r="BS28">
        <v>-6.6619999999999999</v>
      </c>
      <c r="BT28">
        <v>-6.0720000000000001</v>
      </c>
      <c r="BU28">
        <v>-2.5840000000000001</v>
      </c>
      <c r="BV28">
        <v>-7.8170000000000002</v>
      </c>
      <c r="BW28">
        <v>-2.2770000000000001</v>
      </c>
      <c r="BX28">
        <v>-8.0139999999999993</v>
      </c>
      <c r="BY28">
        <v>-12.497</v>
      </c>
      <c r="BZ28">
        <v>-1.0429999999999999</v>
      </c>
      <c r="CA28">
        <v>-14.035</v>
      </c>
      <c r="CB28">
        <v>-4.0709999999999997</v>
      </c>
      <c r="CC28">
        <v>-1.9590000000000001</v>
      </c>
      <c r="CD28">
        <v>-1.861</v>
      </c>
      <c r="CE28">
        <v>-5.1079999999999997</v>
      </c>
      <c r="CF28">
        <v>-4.7489999999999997</v>
      </c>
      <c r="CG28">
        <v>-6.9820000000000002</v>
      </c>
      <c r="CH28">
        <v>-6.5380000000000003</v>
      </c>
      <c r="CI28">
        <v>-12.401999999999999</v>
      </c>
      <c r="CJ28">
        <v>-4.601</v>
      </c>
      <c r="CK28">
        <v>-13.688000000000001</v>
      </c>
      <c r="CL28">
        <v>-3.1240000000000001</v>
      </c>
      <c r="CM28">
        <v>-7.7830000000000004</v>
      </c>
      <c r="CN28">
        <v>-3.63</v>
      </c>
      <c r="CO28">
        <v>-0.78900000000000003</v>
      </c>
      <c r="CP28">
        <v>-3.3340000000000001</v>
      </c>
      <c r="CQ28">
        <v>-17.393000000000001</v>
      </c>
      <c r="CR28">
        <v>-4.266</v>
      </c>
      <c r="CS28">
        <v>-4.6289999999999996</v>
      </c>
      <c r="CT28">
        <v>-4.173</v>
      </c>
      <c r="CU28">
        <v>-13.688000000000001</v>
      </c>
      <c r="CV28">
        <v>-14.849</v>
      </c>
      <c r="CW28">
        <v>-2.2010000000000001</v>
      </c>
      <c r="CX28">
        <v>-17.858000000000001</v>
      </c>
      <c r="CY28">
        <v>-3.363</v>
      </c>
      <c r="CZ28">
        <v>-1.7250000000000001</v>
      </c>
      <c r="DA28">
        <v>-7.2130000000000001</v>
      </c>
      <c r="DB28">
        <v>-1.6639999999999999</v>
      </c>
      <c r="DC28">
        <v>-5.8159999999999998</v>
      </c>
      <c r="DD28">
        <v>-1.119</v>
      </c>
      <c r="DE28">
        <v>-7.3120000000000003</v>
      </c>
      <c r="DF28">
        <v>-3.3719999999999999</v>
      </c>
      <c r="DG28">
        <v>-16.419</v>
      </c>
      <c r="DH28">
        <v>-4.7699999999999996</v>
      </c>
      <c r="DI28">
        <v>-5.5750000000000002</v>
      </c>
      <c r="DJ28">
        <v>-7.0369999999999999</v>
      </c>
      <c r="DK28">
        <v>-7.883</v>
      </c>
      <c r="DL28">
        <v>-10.247999999999999</v>
      </c>
      <c r="DM28">
        <v>-1.5569999999999999</v>
      </c>
      <c r="DN28">
        <v>-6.3079999999999998</v>
      </c>
      <c r="DO28">
        <v>-2.7389999999999999</v>
      </c>
      <c r="DP28">
        <v>-6.7679999999999998</v>
      </c>
      <c r="DQ28">
        <v>-2.2349999999999999</v>
      </c>
      <c r="DR28">
        <v>-6.5750000000000002</v>
      </c>
      <c r="DS28">
        <v>-1.966</v>
      </c>
      <c r="DT28">
        <v>-6.4139999999999997</v>
      </c>
      <c r="DU28">
        <v>-17.021000000000001</v>
      </c>
      <c r="DV28">
        <v>-0.82299999999999995</v>
      </c>
      <c r="DW28">
        <v>-5.88</v>
      </c>
      <c r="DX28">
        <v>-6.2240000000000002</v>
      </c>
      <c r="DY28">
        <v>-8.6980000000000004</v>
      </c>
      <c r="DZ28">
        <v>-3.1819999999999999</v>
      </c>
      <c r="EA28">
        <v>-3.78</v>
      </c>
      <c r="EB28">
        <v>-4.3540000000000001</v>
      </c>
      <c r="EC28">
        <v>-3.5960000000000001</v>
      </c>
      <c r="ED28">
        <v>-3.5579999999999998</v>
      </c>
      <c r="EE28">
        <v>-7.2670000000000003</v>
      </c>
      <c r="EF28">
        <v>-4.74</v>
      </c>
      <c r="EG28">
        <v>-3.3839999999999999</v>
      </c>
      <c r="EH28">
        <v>-9.7870000000000008</v>
      </c>
      <c r="EI28">
        <v>-0.57599999999999996</v>
      </c>
      <c r="EJ28">
        <v>-7.8140000000000001</v>
      </c>
      <c r="EK28">
        <v>-14.147</v>
      </c>
      <c r="EL28">
        <v>-1.0269999999999999</v>
      </c>
      <c r="EM28">
        <v>-14.722</v>
      </c>
      <c r="EN28">
        <v>-14.935</v>
      </c>
      <c r="EO28">
        <v>-4.5970000000000004</v>
      </c>
      <c r="EP28">
        <v>-0.34100000000000003</v>
      </c>
      <c r="EQ28">
        <v>-2.5129999999999999</v>
      </c>
      <c r="ER28">
        <v>-10.163</v>
      </c>
      <c r="ES28">
        <v>-3.766</v>
      </c>
      <c r="ET28">
        <v>-6.0190000000000001</v>
      </c>
      <c r="EU28">
        <v>-3.7829999999999999</v>
      </c>
      <c r="EV28">
        <v>-2.504</v>
      </c>
      <c r="EW28">
        <v>-1.841</v>
      </c>
      <c r="EX28">
        <v>-4.5819999999999999</v>
      </c>
      <c r="EY28">
        <v>-4.2750000000000004</v>
      </c>
      <c r="EZ28">
        <v>-2.681</v>
      </c>
      <c r="FA28">
        <v>-4.63</v>
      </c>
      <c r="FB28">
        <v>-2.335</v>
      </c>
      <c r="FC28">
        <v>-9.43</v>
      </c>
      <c r="FD28">
        <v>-3.8559999999999999</v>
      </c>
      <c r="FE28">
        <v>-4.3019999999999996</v>
      </c>
      <c r="FF28">
        <v>-4.84</v>
      </c>
      <c r="FG28">
        <v>-6.9930000000000003</v>
      </c>
      <c r="FH28">
        <v>-7.702</v>
      </c>
      <c r="FI28">
        <v>-7.8680000000000003</v>
      </c>
      <c r="FJ28">
        <v>-10.358000000000001</v>
      </c>
      <c r="FK28">
        <v>-4.8040000000000003</v>
      </c>
      <c r="FL28">
        <v>-5.048</v>
      </c>
      <c r="FM28">
        <v>-3.2679999999999998</v>
      </c>
      <c r="FN28">
        <v>-14.425000000000001</v>
      </c>
      <c r="FO28">
        <v>-4.8920000000000003</v>
      </c>
      <c r="FP28">
        <v>-7.9960000000000004</v>
      </c>
      <c r="FQ28">
        <v>-5.2080000000000002</v>
      </c>
      <c r="FR28">
        <v>-2.2749999999999999</v>
      </c>
      <c r="FS28">
        <v>-9.6289999999999996</v>
      </c>
      <c r="FT28">
        <v>-2.8130000000000002</v>
      </c>
      <c r="FU28">
        <v>-2.5419999999999998</v>
      </c>
      <c r="FV28">
        <v>-2.907</v>
      </c>
      <c r="FW28">
        <v>-4.2359999999999998</v>
      </c>
      <c r="FX28">
        <v>-17.372</v>
      </c>
      <c r="FY28">
        <v>-2.625</v>
      </c>
      <c r="FZ28">
        <v>-2.1970000000000001</v>
      </c>
      <c r="GA28">
        <v>-9.0950000000000006</v>
      </c>
      <c r="GB28">
        <v>-13.355</v>
      </c>
      <c r="GC28">
        <v>-11.244999999999999</v>
      </c>
      <c r="GD28">
        <v>-13.429</v>
      </c>
      <c r="GE28">
        <v>-5.4429999999999996</v>
      </c>
      <c r="GF28">
        <v>-7.1849999999999996</v>
      </c>
      <c r="GG28">
        <v>-10.39</v>
      </c>
      <c r="GH28">
        <v>-4.71</v>
      </c>
      <c r="GI28">
        <v>-5.5250000000000004</v>
      </c>
      <c r="GJ28">
        <v>-8.1000000000000003E-2</v>
      </c>
      <c r="GK28">
        <v>-1.4870000000000001</v>
      </c>
      <c r="GL28">
        <v>-4.0739999999999998</v>
      </c>
      <c r="GM28">
        <v>-12.521000000000001</v>
      </c>
      <c r="GN28">
        <v>-4.1859999999999999</v>
      </c>
      <c r="GO28">
        <v>-0.95899999999999996</v>
      </c>
      <c r="GP28">
        <v>-7.1680000000000001</v>
      </c>
      <c r="GQ28">
        <v>-5.6180000000000003</v>
      </c>
      <c r="GR28">
        <v>-5.0389999999999997</v>
      </c>
      <c r="GS28">
        <v>-12.179</v>
      </c>
      <c r="GT28">
        <v>-4.8019999999999996</v>
      </c>
      <c r="GU28">
        <v>-1.107</v>
      </c>
      <c r="GV28">
        <v>-16.091000000000001</v>
      </c>
      <c r="GW28">
        <v>-1.8049999999999999</v>
      </c>
      <c r="GX28">
        <v>-0.84199999999999997</v>
      </c>
      <c r="GY28">
        <v>-4.4770000000000003</v>
      </c>
      <c r="GZ28">
        <v>-2.9369999999999998</v>
      </c>
      <c r="HA28">
        <v>-4.5419999999999998</v>
      </c>
      <c r="HB28">
        <v>-7.6589999999999998</v>
      </c>
      <c r="HC28">
        <v>-9.2919999999999998</v>
      </c>
      <c r="HD28">
        <v>-15.036</v>
      </c>
      <c r="HE28">
        <v>-5.7329999999999997</v>
      </c>
      <c r="HF28">
        <v>-3.7749999999999999</v>
      </c>
      <c r="HG28">
        <v>-12.817</v>
      </c>
      <c r="HH28">
        <v>-4.4779999999999998</v>
      </c>
      <c r="HI28">
        <v>-8.2170000000000005</v>
      </c>
      <c r="HJ28">
        <v>-8.0129999999999999</v>
      </c>
      <c r="HK28">
        <v>-6.8719999999999999</v>
      </c>
      <c r="HL28">
        <v>-1.5129999999999999</v>
      </c>
      <c r="HM28">
        <v>-0.69499999999999995</v>
      </c>
      <c r="HN28">
        <v>-11.897</v>
      </c>
      <c r="HO28">
        <v>-3.9020000000000001</v>
      </c>
      <c r="HP28">
        <v>-13.222</v>
      </c>
      <c r="HQ28">
        <v>-1.8620000000000001</v>
      </c>
      <c r="HR28">
        <v>-4.726</v>
      </c>
      <c r="HS28">
        <v>-7.18</v>
      </c>
      <c r="HT28">
        <v>-3.5310000000000001</v>
      </c>
      <c r="HU28">
        <v>-8.0289999999999999</v>
      </c>
      <c r="HV28">
        <v>-7.67</v>
      </c>
      <c r="HW28">
        <v>-6.3129999999999997</v>
      </c>
      <c r="HX28">
        <v>-4.6059999999999999</v>
      </c>
      <c r="HY28">
        <v>-4.45</v>
      </c>
      <c r="HZ28">
        <v>-11.808999999999999</v>
      </c>
      <c r="IA28">
        <v>-7.0869999999999997</v>
      </c>
      <c r="IB28">
        <v>-3.7719999999999998</v>
      </c>
      <c r="IC28">
        <v>-4.0279999999999996</v>
      </c>
      <c r="ID28">
        <v>-6.6580000000000004</v>
      </c>
      <c r="IE28">
        <v>-9.173</v>
      </c>
      <c r="IF28">
        <v>-3.198</v>
      </c>
      <c r="IG28">
        <v>-1.7410000000000001</v>
      </c>
      <c r="IH28">
        <v>-2.2599999999999998</v>
      </c>
      <c r="II28">
        <v>-4.5570000000000004</v>
      </c>
      <c r="IJ28">
        <v>-4.4640000000000004</v>
      </c>
      <c r="IK28">
        <v>-9.1760000000000002</v>
      </c>
      <c r="IL28">
        <v>-4.1029999999999998</v>
      </c>
      <c r="IM28">
        <v>8.7999999999999995E-2</v>
      </c>
      <c r="IN28">
        <v>-3.8029999999999999</v>
      </c>
      <c r="IO28">
        <v>-4.7110000000000003</v>
      </c>
      <c r="IP28">
        <v>-12.055999999999999</v>
      </c>
      <c r="IQ28">
        <v>-4.7610000000000001</v>
      </c>
      <c r="IR28">
        <v>-3.7250000000000001</v>
      </c>
      <c r="IS28">
        <v>-1.3460000000000001</v>
      </c>
      <c r="IT28">
        <v>-4.2290000000000001</v>
      </c>
      <c r="IU28">
        <v>-3.4390000000000001</v>
      </c>
      <c r="IV28">
        <v>-3.0710000000000002</v>
      </c>
      <c r="IW28">
        <v>-4.4800000000000004</v>
      </c>
      <c r="IX28">
        <v>-10.752000000000001</v>
      </c>
      <c r="IY28">
        <v>-5.1539999999999999</v>
      </c>
      <c r="IZ28">
        <v>-5.1420000000000003</v>
      </c>
      <c r="JA28">
        <v>-4.0250000000000004</v>
      </c>
      <c r="JB28">
        <v>-4.6429999999999998</v>
      </c>
      <c r="JC28">
        <v>-3.84</v>
      </c>
      <c r="JD28">
        <v>-5.4729999999999999</v>
      </c>
      <c r="JE28">
        <v>-9.827</v>
      </c>
      <c r="JF28">
        <v>-4.1059999999999999</v>
      </c>
      <c r="JG28">
        <v>-1.9850000000000001</v>
      </c>
      <c r="JH28">
        <v>-4.5750000000000002</v>
      </c>
      <c r="JI28">
        <v>-15.222</v>
      </c>
      <c r="JJ28">
        <v>-4.5209999999999999</v>
      </c>
      <c r="JK28">
        <v>-13.484</v>
      </c>
      <c r="JL28">
        <v>-5.7839999999999998</v>
      </c>
      <c r="JM28">
        <v>-1.7330000000000001</v>
      </c>
      <c r="JN28">
        <v>-3.8860000000000001</v>
      </c>
      <c r="JO28">
        <v>-3.7069999999999999</v>
      </c>
      <c r="JP28">
        <v>-12.058</v>
      </c>
      <c r="JQ28">
        <v>-4.194</v>
      </c>
      <c r="JR28">
        <v>-4.1070000000000002</v>
      </c>
      <c r="JS28">
        <v>-2.8</v>
      </c>
      <c r="JT28">
        <v>-6.41</v>
      </c>
      <c r="JU28">
        <v>-3.754</v>
      </c>
      <c r="JV28">
        <v>-4.6689999999999996</v>
      </c>
      <c r="JW28">
        <v>-0.53600000000000003</v>
      </c>
      <c r="JX28">
        <v>-5.008</v>
      </c>
      <c r="JY28">
        <v>-1.5569999999999999</v>
      </c>
      <c r="JZ28">
        <v>-6.6369999999999996</v>
      </c>
      <c r="KA28">
        <v>-10.565</v>
      </c>
      <c r="KB28">
        <v>-7.8620000000000001</v>
      </c>
      <c r="KC28">
        <v>-5.673</v>
      </c>
      <c r="KD28">
        <v>-3.0289999999999999</v>
      </c>
      <c r="KE28">
        <v>-10.335000000000001</v>
      </c>
      <c r="KF28">
        <v>-15.122</v>
      </c>
      <c r="KG28">
        <v>-4.5229999999999997</v>
      </c>
      <c r="KH28">
        <v>-3.8380000000000001</v>
      </c>
      <c r="KI28">
        <v>-7.2460000000000004</v>
      </c>
      <c r="KJ28">
        <v>-6.3730000000000002</v>
      </c>
      <c r="KK28">
        <v>-2.331</v>
      </c>
      <c r="KL28">
        <v>-10.076000000000001</v>
      </c>
      <c r="KM28">
        <v>-11.484</v>
      </c>
      <c r="KN28">
        <v>-4.4610000000000003</v>
      </c>
      <c r="KO28">
        <v>-5.0540000000000003</v>
      </c>
      <c r="KP28">
        <v>-9.8360000000000003</v>
      </c>
      <c r="KQ28">
        <v>-16.207999999999998</v>
      </c>
      <c r="KR28">
        <v>-16.119</v>
      </c>
    </row>
    <row r="29" spans="1:309" x14ac:dyDescent="0.25">
      <c r="A29">
        <v>2016</v>
      </c>
      <c r="B29">
        <v>2</v>
      </c>
      <c r="C29">
        <v>-7.8239999999999998</v>
      </c>
      <c r="D29">
        <v>-0.29899999999999999</v>
      </c>
      <c r="E29">
        <v>0.495</v>
      </c>
      <c r="F29">
        <v>-0.105</v>
      </c>
      <c r="G29">
        <v>9.2999999999999999E-2</v>
      </c>
      <c r="H29">
        <v>-4.4109999999999996</v>
      </c>
      <c r="I29">
        <v>-1.8680000000000001</v>
      </c>
      <c r="J29">
        <v>-9.1649999999999991</v>
      </c>
      <c r="K29">
        <v>-7.9379999999999997</v>
      </c>
      <c r="L29">
        <v>-0.38500000000000001</v>
      </c>
      <c r="M29">
        <v>1.94</v>
      </c>
      <c r="N29">
        <v>-1.6479999999999999</v>
      </c>
      <c r="O29">
        <v>1.7749999999999999</v>
      </c>
      <c r="P29">
        <v>-0.94599999999999995</v>
      </c>
      <c r="Q29">
        <v>-5.4139999999999997</v>
      </c>
      <c r="R29">
        <v>1.9570000000000001</v>
      </c>
      <c r="S29">
        <v>-8.3140000000000001</v>
      </c>
      <c r="T29">
        <v>-2.8530000000000002</v>
      </c>
      <c r="U29">
        <v>-0.51700000000000002</v>
      </c>
      <c r="V29">
        <v>-0.19</v>
      </c>
      <c r="W29">
        <v>1.575</v>
      </c>
      <c r="X29">
        <v>-0.40300000000000002</v>
      </c>
      <c r="Y29">
        <v>-4.5620000000000003</v>
      </c>
      <c r="Z29">
        <v>-1.91</v>
      </c>
      <c r="AA29">
        <v>1.202</v>
      </c>
      <c r="AB29">
        <v>-7.6999999999999999E-2</v>
      </c>
      <c r="AC29">
        <v>1.8029999999999999</v>
      </c>
      <c r="AD29">
        <v>-7.3360000000000003</v>
      </c>
      <c r="AE29">
        <v>2.621</v>
      </c>
      <c r="AF29">
        <v>-2.6309999999999998</v>
      </c>
      <c r="AG29">
        <v>0.1</v>
      </c>
      <c r="AH29">
        <v>-1.4179999999999999</v>
      </c>
      <c r="AI29">
        <v>-3.3250000000000002</v>
      </c>
      <c r="AJ29">
        <v>-3.1640000000000001</v>
      </c>
      <c r="AK29">
        <v>-1.0549999999999999</v>
      </c>
      <c r="AL29">
        <v>-0.65400000000000003</v>
      </c>
      <c r="AM29">
        <v>0.45100000000000001</v>
      </c>
      <c r="AN29">
        <v>-0.99399999999999999</v>
      </c>
      <c r="AO29">
        <v>-0.69599999999999995</v>
      </c>
      <c r="AP29">
        <v>2.13</v>
      </c>
      <c r="AQ29">
        <v>5.2999999999999999E-2</v>
      </c>
      <c r="AR29">
        <v>-1.748</v>
      </c>
      <c r="AS29">
        <v>1.728</v>
      </c>
      <c r="AT29">
        <v>-0.80500000000000005</v>
      </c>
      <c r="AU29">
        <v>-0.54600000000000004</v>
      </c>
      <c r="AV29">
        <v>-2.1920000000000002</v>
      </c>
      <c r="AW29">
        <v>-1.276</v>
      </c>
      <c r="AX29">
        <v>-0.53300000000000003</v>
      </c>
      <c r="AY29">
        <v>-4.9279999999999999</v>
      </c>
      <c r="AZ29">
        <v>-1.214</v>
      </c>
      <c r="BA29">
        <v>2.903</v>
      </c>
      <c r="BB29">
        <v>-0.88300000000000001</v>
      </c>
      <c r="BC29">
        <v>-7.7569999999999997</v>
      </c>
      <c r="BD29">
        <v>-1.2430000000000001</v>
      </c>
      <c r="BE29">
        <v>-0.21099999999999999</v>
      </c>
      <c r="BF29">
        <v>1.153</v>
      </c>
      <c r="BG29">
        <v>-6.1020000000000003</v>
      </c>
      <c r="BH29">
        <v>-2.4159999999999999</v>
      </c>
      <c r="BI29">
        <v>-9.3529999999999998</v>
      </c>
      <c r="BJ29">
        <v>-0.9</v>
      </c>
      <c r="BK29">
        <v>-0.436</v>
      </c>
      <c r="BL29">
        <v>2.7E-2</v>
      </c>
      <c r="BM29">
        <v>0.27100000000000002</v>
      </c>
      <c r="BN29">
        <v>0.14199999999999999</v>
      </c>
      <c r="BO29">
        <v>-0.69399999999999995</v>
      </c>
      <c r="BP29">
        <v>-2.8050000000000002</v>
      </c>
      <c r="BQ29">
        <v>-0.52900000000000003</v>
      </c>
      <c r="BR29">
        <v>-2.11</v>
      </c>
      <c r="BS29">
        <v>-0.89500000000000002</v>
      </c>
      <c r="BT29">
        <v>-0.438</v>
      </c>
      <c r="BU29">
        <v>0.57699999999999996</v>
      </c>
      <c r="BV29">
        <v>-2.75</v>
      </c>
      <c r="BW29">
        <v>1.2509999999999999</v>
      </c>
      <c r="BX29">
        <v>-1.885</v>
      </c>
      <c r="BY29">
        <v>-5.53</v>
      </c>
      <c r="BZ29">
        <v>2.2530000000000001</v>
      </c>
      <c r="CA29">
        <v>-7.55</v>
      </c>
      <c r="CB29">
        <v>-0.312</v>
      </c>
      <c r="CC29">
        <v>1.657</v>
      </c>
      <c r="CD29">
        <v>1.673</v>
      </c>
      <c r="CE29">
        <v>-0.59899999999999998</v>
      </c>
      <c r="CF29">
        <v>-0.216</v>
      </c>
      <c r="CG29">
        <v>-2.4750000000000001</v>
      </c>
      <c r="CH29">
        <v>-1.054</v>
      </c>
      <c r="CI29">
        <v>-5.1470000000000002</v>
      </c>
      <c r="CJ29">
        <v>-0.41099999999999998</v>
      </c>
      <c r="CK29">
        <v>-5.66</v>
      </c>
      <c r="CL29">
        <v>0.27800000000000002</v>
      </c>
      <c r="CM29">
        <v>-2.0259999999999998</v>
      </c>
      <c r="CN29">
        <v>0.38400000000000001</v>
      </c>
      <c r="CO29">
        <v>2.2570000000000001</v>
      </c>
      <c r="CP29">
        <v>0.41</v>
      </c>
      <c r="CQ29">
        <v>-10.375</v>
      </c>
      <c r="CR29">
        <v>-1.7999999999999999E-2</v>
      </c>
      <c r="CS29">
        <v>4.9000000000000002E-2</v>
      </c>
      <c r="CT29">
        <v>-0.29299999999999998</v>
      </c>
      <c r="CU29">
        <v>-6.6740000000000004</v>
      </c>
      <c r="CV29">
        <v>-6.9880000000000004</v>
      </c>
      <c r="CW29">
        <v>1.3720000000000001</v>
      </c>
      <c r="CX29">
        <v>-9.8360000000000003</v>
      </c>
      <c r="CY29">
        <v>0.124</v>
      </c>
      <c r="CZ29">
        <v>1.4019999999999999</v>
      </c>
      <c r="DA29">
        <v>-1.5649999999999999</v>
      </c>
      <c r="DB29">
        <v>1.9630000000000001</v>
      </c>
      <c r="DC29">
        <v>-0.65500000000000003</v>
      </c>
      <c r="DD29">
        <v>2.431</v>
      </c>
      <c r="DE29">
        <v>-1.2689999999999999</v>
      </c>
      <c r="DF29">
        <v>0.16</v>
      </c>
      <c r="DG29">
        <v>-9.3079999999999998</v>
      </c>
      <c r="DH29">
        <v>-0.311</v>
      </c>
      <c r="DI29">
        <v>-0.67</v>
      </c>
      <c r="DJ29">
        <v>-0.82799999999999996</v>
      </c>
      <c r="DK29">
        <v>-2.3140000000000001</v>
      </c>
      <c r="DL29">
        <v>-4.7750000000000004</v>
      </c>
      <c r="DM29">
        <v>1.88</v>
      </c>
      <c r="DN29">
        <v>-0.437</v>
      </c>
      <c r="DO29">
        <v>0.55300000000000005</v>
      </c>
      <c r="DP29">
        <v>-0.97399999999999998</v>
      </c>
      <c r="DQ29">
        <v>1.208</v>
      </c>
      <c r="DR29">
        <v>-0.749</v>
      </c>
      <c r="DS29">
        <v>1.5589999999999999</v>
      </c>
      <c r="DT29">
        <v>-0.66300000000000003</v>
      </c>
      <c r="DU29">
        <v>-10.496</v>
      </c>
      <c r="DV29">
        <v>2.4849999999999999</v>
      </c>
      <c r="DW29">
        <v>-0.64700000000000002</v>
      </c>
      <c r="DX29">
        <v>-0.44800000000000001</v>
      </c>
      <c r="DY29">
        <v>-2.5840000000000001</v>
      </c>
      <c r="DZ29">
        <v>0.191</v>
      </c>
      <c r="EA29">
        <v>3.1E-2</v>
      </c>
      <c r="EB29">
        <v>0.106</v>
      </c>
      <c r="EC29">
        <v>0.35299999999999998</v>
      </c>
      <c r="ED29">
        <v>0.10100000000000001</v>
      </c>
      <c r="EE29">
        <v>-1.506</v>
      </c>
      <c r="EF29">
        <v>0.21199999999999999</v>
      </c>
      <c r="EG29">
        <v>0.44400000000000001</v>
      </c>
      <c r="EH29">
        <v>-3.8879999999999999</v>
      </c>
      <c r="EI29">
        <v>2.605</v>
      </c>
      <c r="EJ29">
        <v>-1.8049999999999999</v>
      </c>
      <c r="EK29">
        <v>-6.9610000000000003</v>
      </c>
      <c r="EL29">
        <v>2.4300000000000002</v>
      </c>
      <c r="EM29">
        <v>-7.3280000000000003</v>
      </c>
      <c r="EN29">
        <v>-7.9960000000000004</v>
      </c>
      <c r="EO29">
        <v>-0.16300000000000001</v>
      </c>
      <c r="EP29">
        <v>2.6320000000000001</v>
      </c>
      <c r="EQ29">
        <v>0.78700000000000003</v>
      </c>
      <c r="ER29">
        <v>-4.0330000000000004</v>
      </c>
      <c r="ES29">
        <v>0.34100000000000003</v>
      </c>
      <c r="ET29">
        <v>-0.84699999999999998</v>
      </c>
      <c r="EU29">
        <v>0.253</v>
      </c>
      <c r="EV29">
        <v>1.075</v>
      </c>
      <c r="EW29">
        <v>1.728</v>
      </c>
      <c r="EX29">
        <v>-5.3999999999999999E-2</v>
      </c>
      <c r="EY29">
        <v>-0.92</v>
      </c>
      <c r="EZ29">
        <v>0.85899999999999999</v>
      </c>
      <c r="FA29">
        <v>0.13100000000000001</v>
      </c>
      <c r="FB29">
        <v>0.92</v>
      </c>
      <c r="FC29">
        <v>-2.7170000000000001</v>
      </c>
      <c r="FD29">
        <v>-0.16700000000000001</v>
      </c>
      <c r="FE29">
        <v>0.214</v>
      </c>
      <c r="FF29">
        <v>-0.85799999999999998</v>
      </c>
      <c r="FG29">
        <v>-1.421</v>
      </c>
      <c r="FH29">
        <v>-1.6910000000000001</v>
      </c>
      <c r="FI29">
        <v>-3.234</v>
      </c>
      <c r="FJ29">
        <v>-4.0960000000000001</v>
      </c>
      <c r="FK29">
        <v>-8.0000000000000002E-3</v>
      </c>
      <c r="FL29">
        <v>-0.61799999999999999</v>
      </c>
      <c r="FM29">
        <v>0.69399999999999995</v>
      </c>
      <c r="FN29">
        <v>-7.2809999999999997</v>
      </c>
      <c r="FO29">
        <v>-0.38400000000000001</v>
      </c>
      <c r="FP29">
        <v>-2.1549999999999998</v>
      </c>
      <c r="FQ29">
        <v>-0.72899999999999998</v>
      </c>
      <c r="FR29">
        <v>0.97</v>
      </c>
      <c r="FS29">
        <v>-2.7429999999999999</v>
      </c>
      <c r="FT29">
        <v>0.16600000000000001</v>
      </c>
      <c r="FU29">
        <v>0.92400000000000004</v>
      </c>
      <c r="FV29">
        <v>0.79400000000000004</v>
      </c>
      <c r="FW29">
        <v>-8.4000000000000005E-2</v>
      </c>
      <c r="FX29">
        <v>-7.5439999999999996</v>
      </c>
      <c r="FY29">
        <v>0.60499999999999998</v>
      </c>
      <c r="FZ29">
        <v>1.1870000000000001</v>
      </c>
      <c r="GA29">
        <v>-2.802</v>
      </c>
      <c r="GB29">
        <v>-7.8449999999999998</v>
      </c>
      <c r="GC29">
        <v>-4.8220000000000001</v>
      </c>
      <c r="GD29">
        <v>-6.4219999999999997</v>
      </c>
      <c r="GE29">
        <v>-0.65800000000000003</v>
      </c>
      <c r="GF29">
        <v>-1.365</v>
      </c>
      <c r="GG29">
        <v>-4.8250000000000002</v>
      </c>
      <c r="GH29">
        <v>-0.61699999999999999</v>
      </c>
      <c r="GI29">
        <v>-0.69799999999999995</v>
      </c>
      <c r="GJ29">
        <v>2.6080000000000001</v>
      </c>
      <c r="GK29">
        <v>1.917</v>
      </c>
      <c r="GL29">
        <v>-0.30199999999999999</v>
      </c>
      <c r="GM29">
        <v>-5.5369999999999999</v>
      </c>
      <c r="GN29">
        <v>-0.442</v>
      </c>
      <c r="GO29">
        <v>2.1030000000000002</v>
      </c>
      <c r="GP29">
        <v>-1.7170000000000001</v>
      </c>
      <c r="GQ29">
        <v>-0.98799999999999999</v>
      </c>
      <c r="GR29">
        <v>-0.50900000000000001</v>
      </c>
      <c r="GS29">
        <v>-5.9050000000000002</v>
      </c>
      <c r="GT29">
        <v>-2.5000000000000001E-2</v>
      </c>
      <c r="GU29">
        <v>1.9570000000000001</v>
      </c>
      <c r="GV29">
        <v>-8.6530000000000005</v>
      </c>
      <c r="GW29">
        <v>1.3280000000000001</v>
      </c>
      <c r="GX29">
        <v>2.444</v>
      </c>
      <c r="GY29">
        <v>0.17599999999999999</v>
      </c>
      <c r="GZ29">
        <v>0.499</v>
      </c>
      <c r="HA29">
        <v>9.7000000000000003E-2</v>
      </c>
      <c r="HB29">
        <v>-1.9219999999999999</v>
      </c>
      <c r="HC29">
        <v>-4.5229999999999997</v>
      </c>
      <c r="HD29">
        <v>-7.8360000000000003</v>
      </c>
      <c r="HE29">
        <v>-0.83</v>
      </c>
      <c r="HF29">
        <v>0.314</v>
      </c>
      <c r="HG29">
        <v>-5.6390000000000002</v>
      </c>
      <c r="HH29">
        <v>0.13</v>
      </c>
      <c r="HI29">
        <v>-3.04</v>
      </c>
      <c r="HJ29">
        <v>-1.9219999999999999</v>
      </c>
      <c r="HK29">
        <v>-1.24</v>
      </c>
      <c r="HL29">
        <v>2.1150000000000002</v>
      </c>
      <c r="HM29">
        <v>2.3149999999999999</v>
      </c>
      <c r="HN29">
        <v>-4.76</v>
      </c>
      <c r="HO29">
        <v>-0.33300000000000002</v>
      </c>
      <c r="HP29">
        <v>-6.3140000000000001</v>
      </c>
      <c r="HQ29">
        <v>1.5549999999999999</v>
      </c>
      <c r="HR29">
        <v>-0.33200000000000002</v>
      </c>
      <c r="HS29">
        <v>-1.4650000000000001</v>
      </c>
      <c r="HT29">
        <v>0.432</v>
      </c>
      <c r="HU29">
        <v>-1.901</v>
      </c>
      <c r="HV29">
        <v>-1.5720000000000001</v>
      </c>
      <c r="HW29">
        <v>-1.6719999999999999</v>
      </c>
      <c r="HX29">
        <v>0.16200000000000001</v>
      </c>
      <c r="HY29">
        <v>0.187</v>
      </c>
      <c r="HZ29">
        <v>-5.8029999999999999</v>
      </c>
      <c r="IA29">
        <v>-1.365</v>
      </c>
      <c r="IB29">
        <v>1.2999999999999999E-2</v>
      </c>
      <c r="IC29">
        <v>-0.46400000000000002</v>
      </c>
      <c r="ID29">
        <v>-1.2589999999999999</v>
      </c>
      <c r="IE29">
        <v>-4.0599999999999996</v>
      </c>
      <c r="IF29">
        <v>0.317</v>
      </c>
      <c r="IG29">
        <v>1.21</v>
      </c>
      <c r="IH29">
        <v>1.4219999999999999</v>
      </c>
      <c r="II29">
        <v>-0.437</v>
      </c>
      <c r="IJ29">
        <v>-0.17199999999999999</v>
      </c>
      <c r="IK29">
        <v>-2.4740000000000002</v>
      </c>
      <c r="IL29">
        <v>-0.41299999999999998</v>
      </c>
      <c r="IM29">
        <v>2.7160000000000002</v>
      </c>
      <c r="IN29">
        <v>0.23799999999999999</v>
      </c>
      <c r="IO29">
        <v>-0.4</v>
      </c>
      <c r="IP29">
        <v>-4.5469999999999997</v>
      </c>
      <c r="IQ29">
        <v>-3.6999999999999998E-2</v>
      </c>
      <c r="IR29">
        <v>-0.09</v>
      </c>
      <c r="IS29">
        <v>1.99</v>
      </c>
      <c r="IT29">
        <v>-1.7999999999999999E-2</v>
      </c>
      <c r="IU29">
        <v>0.22500000000000001</v>
      </c>
      <c r="IV29">
        <v>0.627</v>
      </c>
      <c r="IW29">
        <v>-0.92400000000000004</v>
      </c>
      <c r="IX29">
        <v>-4.5279999999999996</v>
      </c>
      <c r="IY29">
        <v>-0.501</v>
      </c>
      <c r="IZ29">
        <v>-0.39400000000000002</v>
      </c>
      <c r="JA29">
        <v>0.29699999999999999</v>
      </c>
      <c r="JB29">
        <v>-0.64200000000000002</v>
      </c>
      <c r="JC29">
        <v>8.3000000000000004E-2</v>
      </c>
      <c r="JD29">
        <v>-0.72899999999999998</v>
      </c>
      <c r="JE29">
        <v>-3.2989999999999999</v>
      </c>
      <c r="JF29">
        <v>9.0999999999999998E-2</v>
      </c>
      <c r="JG29">
        <v>1.7150000000000001</v>
      </c>
      <c r="JH29">
        <v>-0.41799999999999998</v>
      </c>
      <c r="JI29">
        <v>-8.0129999999999999</v>
      </c>
      <c r="JJ29">
        <v>-0.19</v>
      </c>
      <c r="JK29">
        <v>-6.4610000000000003</v>
      </c>
      <c r="JL29">
        <v>-0.61499999999999999</v>
      </c>
      <c r="JM29">
        <v>1.492</v>
      </c>
      <c r="JN29">
        <v>-0.36699999999999999</v>
      </c>
      <c r="JO29">
        <v>0.20799999999999999</v>
      </c>
      <c r="JP29">
        <v>-5.2610000000000001</v>
      </c>
      <c r="JQ29">
        <v>1.4E-2</v>
      </c>
      <c r="JR29">
        <v>-6.9000000000000006E-2</v>
      </c>
      <c r="JS29">
        <v>0.67900000000000005</v>
      </c>
      <c r="JT29">
        <v>-0.72599999999999998</v>
      </c>
      <c r="JU29">
        <v>-4.0000000000000001E-3</v>
      </c>
      <c r="JV29">
        <v>-0.53800000000000003</v>
      </c>
      <c r="JW29">
        <v>2.4449999999999998</v>
      </c>
      <c r="JX29">
        <v>-0.436</v>
      </c>
      <c r="JY29">
        <v>1.8939999999999999</v>
      </c>
      <c r="JZ29">
        <v>-0.67700000000000005</v>
      </c>
      <c r="KA29">
        <v>-4.5060000000000002</v>
      </c>
      <c r="KB29">
        <v>-1.8839999999999999</v>
      </c>
      <c r="KC29">
        <v>-0.59499999999999997</v>
      </c>
      <c r="KD29">
        <v>0.59399999999999997</v>
      </c>
      <c r="KE29">
        <v>-3.9790000000000001</v>
      </c>
      <c r="KF29">
        <v>-8.2330000000000005</v>
      </c>
      <c r="KG29">
        <v>-0.54200000000000004</v>
      </c>
      <c r="KH29">
        <v>8.1000000000000003E-2</v>
      </c>
      <c r="KI29">
        <v>-1.9650000000000001</v>
      </c>
      <c r="KJ29">
        <v>-0.41699999999999998</v>
      </c>
      <c r="KK29">
        <v>1.181</v>
      </c>
      <c r="KL29">
        <v>-4.0119999999999996</v>
      </c>
      <c r="KM29">
        <v>-3.988</v>
      </c>
      <c r="KN29">
        <v>-3.4000000000000002E-2</v>
      </c>
      <c r="KO29">
        <v>-1.0049999999999999</v>
      </c>
      <c r="KP29">
        <v>-3.6920000000000002</v>
      </c>
      <c r="KQ29">
        <v>-7.8310000000000004</v>
      </c>
      <c r="KR29">
        <v>-6.8949999999999996</v>
      </c>
    </row>
    <row r="30" spans="1:309" x14ac:dyDescent="0.25">
      <c r="A30">
        <v>2016</v>
      </c>
      <c r="B30">
        <v>3</v>
      </c>
      <c r="C30">
        <v>-5.0430000000000001</v>
      </c>
      <c r="D30">
        <v>2.4620000000000002</v>
      </c>
      <c r="E30">
        <v>3.2170000000000001</v>
      </c>
      <c r="F30">
        <v>2.5739999999999998</v>
      </c>
      <c r="G30">
        <v>2.3620000000000001</v>
      </c>
      <c r="H30">
        <v>-0.20399999999999999</v>
      </c>
      <c r="I30">
        <v>2.0059999999999998</v>
      </c>
      <c r="J30">
        <v>-2.7250000000000001</v>
      </c>
      <c r="K30">
        <v>-2.7</v>
      </c>
      <c r="L30">
        <v>2.1219999999999999</v>
      </c>
      <c r="M30">
        <v>3.194</v>
      </c>
      <c r="N30">
        <v>1.853</v>
      </c>
      <c r="O30">
        <v>3.0430000000000001</v>
      </c>
      <c r="P30">
        <v>2.3769999999999998</v>
      </c>
      <c r="Q30">
        <v>-1.137</v>
      </c>
      <c r="R30">
        <v>3.2210000000000001</v>
      </c>
      <c r="S30">
        <v>-2.4220000000000002</v>
      </c>
      <c r="T30">
        <v>1.3109999999999999</v>
      </c>
      <c r="U30">
        <v>1.96</v>
      </c>
      <c r="V30">
        <v>2.29</v>
      </c>
      <c r="W30">
        <v>3.58</v>
      </c>
      <c r="X30">
        <v>2.4129999999999998</v>
      </c>
      <c r="Y30">
        <v>-0.80200000000000005</v>
      </c>
      <c r="Z30">
        <v>1.84</v>
      </c>
      <c r="AA30">
        <v>2.992</v>
      </c>
      <c r="AB30">
        <v>2.484</v>
      </c>
      <c r="AC30">
        <v>3.44</v>
      </c>
      <c r="AD30">
        <v>-1.516</v>
      </c>
      <c r="AE30">
        <v>4.0049999999999999</v>
      </c>
      <c r="AF30">
        <v>1.92</v>
      </c>
      <c r="AG30">
        <v>2.7440000000000002</v>
      </c>
      <c r="AH30">
        <v>1.744</v>
      </c>
      <c r="AI30">
        <v>0.92100000000000004</v>
      </c>
      <c r="AJ30">
        <v>0.749</v>
      </c>
      <c r="AK30">
        <v>2.274</v>
      </c>
      <c r="AL30">
        <v>1.887</v>
      </c>
      <c r="AM30">
        <v>2.843</v>
      </c>
      <c r="AN30">
        <v>2.16</v>
      </c>
      <c r="AO30">
        <v>2.452</v>
      </c>
      <c r="AP30">
        <v>3.6920000000000002</v>
      </c>
      <c r="AQ30">
        <v>2.573</v>
      </c>
      <c r="AR30">
        <v>1.7450000000000001</v>
      </c>
      <c r="AS30">
        <v>3.0670000000000002</v>
      </c>
      <c r="AT30">
        <v>2.0070000000000001</v>
      </c>
      <c r="AU30">
        <v>2.3820000000000001</v>
      </c>
      <c r="AV30">
        <v>1.7010000000000001</v>
      </c>
      <c r="AW30">
        <v>1.907</v>
      </c>
      <c r="AX30">
        <v>2.5129999999999999</v>
      </c>
      <c r="AY30">
        <v>-1.3580000000000001</v>
      </c>
      <c r="AZ30">
        <v>2.3820000000000001</v>
      </c>
      <c r="BA30">
        <v>3.93</v>
      </c>
      <c r="BB30">
        <v>2.2509999999999999</v>
      </c>
      <c r="BC30">
        <v>-2.0830000000000002</v>
      </c>
      <c r="BD30">
        <v>1.8640000000000001</v>
      </c>
      <c r="BE30">
        <v>1.9319999999999999</v>
      </c>
      <c r="BF30">
        <v>3.472</v>
      </c>
      <c r="BG30">
        <v>-1.6240000000000001</v>
      </c>
      <c r="BH30">
        <v>1.5089999999999999</v>
      </c>
      <c r="BI30">
        <v>-4.0380000000000003</v>
      </c>
      <c r="BJ30">
        <v>2.173</v>
      </c>
      <c r="BK30">
        <v>1.849</v>
      </c>
      <c r="BL30">
        <v>2.698</v>
      </c>
      <c r="BM30">
        <v>2.6320000000000001</v>
      </c>
      <c r="BN30">
        <v>2.5249999999999999</v>
      </c>
      <c r="BO30">
        <v>2.306</v>
      </c>
      <c r="BP30">
        <v>1.7490000000000001</v>
      </c>
      <c r="BQ30">
        <v>2.363</v>
      </c>
      <c r="BR30">
        <v>1.61</v>
      </c>
      <c r="BS30">
        <v>2.4500000000000002</v>
      </c>
      <c r="BT30">
        <v>2.3650000000000002</v>
      </c>
      <c r="BU30">
        <v>3.1560000000000001</v>
      </c>
      <c r="BV30">
        <v>0.877</v>
      </c>
      <c r="BW30">
        <v>2.9969999999999999</v>
      </c>
      <c r="BX30">
        <v>1.7529999999999999</v>
      </c>
      <c r="BY30">
        <v>-1.603</v>
      </c>
      <c r="BZ30">
        <v>3.3769999999999998</v>
      </c>
      <c r="CA30">
        <v>-2.6589999999999998</v>
      </c>
      <c r="CB30">
        <v>2.2970000000000002</v>
      </c>
      <c r="CC30">
        <v>3.3570000000000002</v>
      </c>
      <c r="CD30">
        <v>3.4020000000000001</v>
      </c>
      <c r="CE30">
        <v>2.4279999999999999</v>
      </c>
      <c r="CF30">
        <v>2.504</v>
      </c>
      <c r="CG30">
        <v>1.4279999999999999</v>
      </c>
      <c r="CH30">
        <v>2.206</v>
      </c>
      <c r="CI30">
        <v>-0.44800000000000001</v>
      </c>
      <c r="CJ30">
        <v>2.1549999999999998</v>
      </c>
      <c r="CK30">
        <v>-2.6230000000000002</v>
      </c>
      <c r="CL30">
        <v>2.6179999999999999</v>
      </c>
      <c r="CM30">
        <v>1.4630000000000001</v>
      </c>
      <c r="CN30">
        <v>3.1520000000000001</v>
      </c>
      <c r="CO30">
        <v>3.27</v>
      </c>
      <c r="CP30">
        <v>2.165</v>
      </c>
      <c r="CQ30">
        <v>-3.3839999999999999</v>
      </c>
      <c r="CR30">
        <v>2.73</v>
      </c>
      <c r="CS30">
        <v>2.8410000000000002</v>
      </c>
      <c r="CT30">
        <v>2.2080000000000002</v>
      </c>
      <c r="CU30">
        <v>-0.94899999999999995</v>
      </c>
      <c r="CV30">
        <v>-2.9510000000000001</v>
      </c>
      <c r="CW30">
        <v>3.46</v>
      </c>
      <c r="CX30">
        <v>-5.5659999999999998</v>
      </c>
      <c r="CY30">
        <v>2.6240000000000001</v>
      </c>
      <c r="CZ30">
        <v>3.218</v>
      </c>
      <c r="DA30">
        <v>1.746</v>
      </c>
      <c r="DB30">
        <v>3.5489999999999999</v>
      </c>
      <c r="DC30">
        <v>2.3690000000000002</v>
      </c>
      <c r="DD30">
        <v>3.867</v>
      </c>
      <c r="DE30">
        <v>2.258</v>
      </c>
      <c r="DF30">
        <v>2.4209999999999998</v>
      </c>
      <c r="DG30">
        <v>-4.59</v>
      </c>
      <c r="DH30">
        <v>2.2730000000000001</v>
      </c>
      <c r="DI30">
        <v>2.3370000000000002</v>
      </c>
      <c r="DJ30">
        <v>2.589</v>
      </c>
      <c r="DK30">
        <v>1.46</v>
      </c>
      <c r="DL30">
        <v>0.28499999999999998</v>
      </c>
      <c r="DM30">
        <v>3.5760000000000001</v>
      </c>
      <c r="DN30">
        <v>2.488</v>
      </c>
      <c r="DO30">
        <v>3.2690000000000001</v>
      </c>
      <c r="DP30">
        <v>2.109</v>
      </c>
      <c r="DQ30">
        <v>3.2360000000000002</v>
      </c>
      <c r="DR30">
        <v>2.339</v>
      </c>
      <c r="DS30">
        <v>2.988</v>
      </c>
      <c r="DT30">
        <v>2.6469999999999998</v>
      </c>
      <c r="DU30">
        <v>-3.4820000000000002</v>
      </c>
      <c r="DV30">
        <v>3.6320000000000001</v>
      </c>
      <c r="DW30">
        <v>2.2930000000000001</v>
      </c>
      <c r="DX30">
        <v>2.5680000000000001</v>
      </c>
      <c r="DY30">
        <v>1.532</v>
      </c>
      <c r="DZ30">
        <v>2.8140000000000001</v>
      </c>
      <c r="EA30">
        <v>2.4710000000000001</v>
      </c>
      <c r="EB30">
        <v>2.6680000000000001</v>
      </c>
      <c r="EC30">
        <v>2.7650000000000001</v>
      </c>
      <c r="ED30">
        <v>2.7610000000000001</v>
      </c>
      <c r="EE30">
        <v>2.008</v>
      </c>
      <c r="EF30">
        <v>2.923</v>
      </c>
      <c r="EG30">
        <v>2.254</v>
      </c>
      <c r="EH30">
        <v>0.6</v>
      </c>
      <c r="EI30">
        <v>4.0190000000000001</v>
      </c>
      <c r="EJ30">
        <v>1.7070000000000001</v>
      </c>
      <c r="EK30">
        <v>-2.34</v>
      </c>
      <c r="EL30">
        <v>3.923</v>
      </c>
      <c r="EM30">
        <v>-1.55</v>
      </c>
      <c r="EN30">
        <v>-2.351</v>
      </c>
      <c r="EO30">
        <v>2.3780000000000001</v>
      </c>
      <c r="EP30">
        <v>3.952</v>
      </c>
      <c r="EQ30">
        <v>3.202</v>
      </c>
      <c r="ER30">
        <v>0.86099999999999999</v>
      </c>
      <c r="ES30">
        <v>2.8679999999999999</v>
      </c>
      <c r="ET30">
        <v>2.2770000000000001</v>
      </c>
      <c r="EU30">
        <v>2.7690000000000001</v>
      </c>
      <c r="EV30">
        <v>3.5249999999999999</v>
      </c>
      <c r="EW30">
        <v>3.452</v>
      </c>
      <c r="EX30">
        <v>2.6579999999999999</v>
      </c>
      <c r="EY30">
        <v>1.762</v>
      </c>
      <c r="EZ30">
        <v>2.5939999999999999</v>
      </c>
      <c r="FA30">
        <v>2.847</v>
      </c>
      <c r="FB30">
        <v>3.3439999999999999</v>
      </c>
      <c r="FC30">
        <v>1.5980000000000001</v>
      </c>
      <c r="FD30">
        <v>2.8319999999999999</v>
      </c>
      <c r="FE30">
        <v>2.806</v>
      </c>
      <c r="FF30">
        <v>1.69</v>
      </c>
      <c r="FG30">
        <v>1.923</v>
      </c>
      <c r="FH30">
        <v>1.885</v>
      </c>
      <c r="FI30">
        <v>0.95</v>
      </c>
      <c r="FJ30">
        <v>-0.22900000000000001</v>
      </c>
      <c r="FK30">
        <v>2.706</v>
      </c>
      <c r="FL30">
        <v>1.9470000000000001</v>
      </c>
      <c r="FM30">
        <v>3.1160000000000001</v>
      </c>
      <c r="FN30">
        <v>-1.9770000000000001</v>
      </c>
      <c r="FO30">
        <v>2.4409999999999998</v>
      </c>
      <c r="FP30">
        <v>1.9710000000000001</v>
      </c>
      <c r="FQ30">
        <v>2.2909999999999999</v>
      </c>
      <c r="FR30">
        <v>2.9079999999999999</v>
      </c>
      <c r="FS30">
        <v>1.54</v>
      </c>
      <c r="FT30">
        <v>3.0049999999999999</v>
      </c>
      <c r="FU30">
        <v>2.7290000000000001</v>
      </c>
      <c r="FV30">
        <v>3.298</v>
      </c>
      <c r="FW30">
        <v>2.4079999999999999</v>
      </c>
      <c r="FX30">
        <v>-3.6669999999999998</v>
      </c>
      <c r="FY30">
        <v>3.2690000000000001</v>
      </c>
      <c r="FZ30">
        <v>2.8279999999999998</v>
      </c>
      <c r="GA30">
        <v>1.306</v>
      </c>
      <c r="GB30">
        <v>-4.1769999999999996</v>
      </c>
      <c r="GC30">
        <v>-0.56299999999999994</v>
      </c>
      <c r="GD30">
        <v>-1.395</v>
      </c>
      <c r="GE30">
        <v>2.4750000000000001</v>
      </c>
      <c r="GF30">
        <v>1.9730000000000001</v>
      </c>
      <c r="GG30">
        <v>-0.375</v>
      </c>
      <c r="GH30">
        <v>1.853</v>
      </c>
      <c r="GI30">
        <v>2.306</v>
      </c>
      <c r="GJ30">
        <v>3.7639999999999998</v>
      </c>
      <c r="GK30">
        <v>3.585</v>
      </c>
      <c r="GL30">
        <v>2.48</v>
      </c>
      <c r="GM30">
        <v>-0.58499999999999996</v>
      </c>
      <c r="GN30">
        <v>2.4020000000000001</v>
      </c>
      <c r="GO30">
        <v>3.5310000000000001</v>
      </c>
      <c r="GP30">
        <v>1.728</v>
      </c>
      <c r="GQ30">
        <v>1.9470000000000001</v>
      </c>
      <c r="GR30">
        <v>2.4380000000000002</v>
      </c>
      <c r="GS30">
        <v>-0.127</v>
      </c>
      <c r="GT30">
        <v>2.7639999999999998</v>
      </c>
      <c r="GU30">
        <v>3.4580000000000002</v>
      </c>
      <c r="GV30">
        <v>-2.2639999999999998</v>
      </c>
      <c r="GW30">
        <v>3.1760000000000002</v>
      </c>
      <c r="GX30">
        <v>3.9289999999999998</v>
      </c>
      <c r="GY30">
        <v>2.9460000000000002</v>
      </c>
      <c r="GZ30">
        <v>3.13</v>
      </c>
      <c r="HA30">
        <v>2.819</v>
      </c>
      <c r="HB30">
        <v>1.661</v>
      </c>
      <c r="HC30">
        <v>-1.627</v>
      </c>
      <c r="HD30">
        <v>-1.8129999999999999</v>
      </c>
      <c r="HE30">
        <v>2.2730000000000001</v>
      </c>
      <c r="HF30">
        <v>3.1059999999999999</v>
      </c>
      <c r="HG30">
        <v>-1.25</v>
      </c>
      <c r="HH30">
        <v>2.8940000000000001</v>
      </c>
      <c r="HI30">
        <v>1.1399999999999999</v>
      </c>
      <c r="HJ30">
        <v>1.9690000000000001</v>
      </c>
      <c r="HK30">
        <v>2.2069999999999999</v>
      </c>
      <c r="HL30">
        <v>3.5179999999999998</v>
      </c>
      <c r="HM30">
        <v>3.7269999999999999</v>
      </c>
      <c r="HN30">
        <v>-0.74199999999999999</v>
      </c>
      <c r="HO30">
        <v>1.901</v>
      </c>
      <c r="HP30">
        <v>-1.536</v>
      </c>
      <c r="HQ30">
        <v>3.3690000000000002</v>
      </c>
      <c r="HR30">
        <v>2.54</v>
      </c>
      <c r="HS30">
        <v>1.8169999999999999</v>
      </c>
      <c r="HT30">
        <v>2.641</v>
      </c>
      <c r="HU30">
        <v>1.7330000000000001</v>
      </c>
      <c r="HV30">
        <v>1.911</v>
      </c>
      <c r="HW30">
        <v>1.681</v>
      </c>
      <c r="HX30">
        <v>2.8109999999999999</v>
      </c>
      <c r="HY30">
        <v>2.9140000000000001</v>
      </c>
      <c r="HZ30">
        <v>-2.2570000000000001</v>
      </c>
      <c r="IA30">
        <v>1.907</v>
      </c>
      <c r="IB30">
        <v>2.6709999999999998</v>
      </c>
      <c r="IC30">
        <v>2.3260000000000001</v>
      </c>
      <c r="ID30">
        <v>2.0099999999999998</v>
      </c>
      <c r="IE30">
        <v>0.65</v>
      </c>
      <c r="IF30">
        <v>2.6030000000000002</v>
      </c>
      <c r="IG30">
        <v>3.2890000000000001</v>
      </c>
      <c r="IH30">
        <v>3.327</v>
      </c>
      <c r="II30">
        <v>2.4910000000000001</v>
      </c>
      <c r="IJ30">
        <v>2.359</v>
      </c>
      <c r="IK30">
        <v>1.889</v>
      </c>
      <c r="IL30">
        <v>1.804</v>
      </c>
      <c r="IM30">
        <v>3.8660000000000001</v>
      </c>
      <c r="IN30">
        <v>2.8029999999999999</v>
      </c>
      <c r="IO30">
        <v>2.1440000000000001</v>
      </c>
      <c r="IP30">
        <v>-0.89</v>
      </c>
      <c r="IQ30">
        <v>2.6669999999999998</v>
      </c>
      <c r="IR30">
        <v>2.95</v>
      </c>
      <c r="IS30">
        <v>3.6030000000000002</v>
      </c>
      <c r="IT30">
        <v>2.427</v>
      </c>
      <c r="IU30">
        <v>2.988</v>
      </c>
      <c r="IV30">
        <v>2.4369999999999998</v>
      </c>
      <c r="IW30">
        <v>1.526</v>
      </c>
      <c r="IX30">
        <v>-0.45200000000000001</v>
      </c>
      <c r="IY30">
        <v>2.37</v>
      </c>
      <c r="IZ30">
        <v>2.4889999999999999</v>
      </c>
      <c r="JA30">
        <v>2.7549999999999999</v>
      </c>
      <c r="JB30">
        <v>1.768</v>
      </c>
      <c r="JC30">
        <v>2.718</v>
      </c>
      <c r="JD30">
        <v>2.1150000000000002</v>
      </c>
      <c r="JE30">
        <v>1.24</v>
      </c>
      <c r="JF30">
        <v>2.508</v>
      </c>
      <c r="JG30">
        <v>3.1230000000000002</v>
      </c>
      <c r="JH30">
        <v>2.14</v>
      </c>
      <c r="JI30">
        <v>-1.8460000000000001</v>
      </c>
      <c r="JJ30">
        <v>2.573</v>
      </c>
      <c r="JK30">
        <v>-1.163</v>
      </c>
      <c r="JL30">
        <v>2.4350000000000001</v>
      </c>
      <c r="JM30">
        <v>2.5430000000000001</v>
      </c>
      <c r="JN30">
        <v>2.3220000000000001</v>
      </c>
      <c r="JO30">
        <v>2.754</v>
      </c>
      <c r="JP30">
        <v>-0.82799999999999996</v>
      </c>
      <c r="JQ30">
        <v>2.363</v>
      </c>
      <c r="JR30">
        <v>2.1</v>
      </c>
      <c r="JS30">
        <v>3.1869999999999998</v>
      </c>
      <c r="JT30">
        <v>2.3919999999999999</v>
      </c>
      <c r="JU30">
        <v>2.3919999999999999</v>
      </c>
      <c r="JV30">
        <v>1.8919999999999999</v>
      </c>
      <c r="JW30">
        <v>3.6669999999999998</v>
      </c>
      <c r="JX30">
        <v>2.6160000000000001</v>
      </c>
      <c r="JY30">
        <v>3.149</v>
      </c>
      <c r="JZ30">
        <v>2.6560000000000001</v>
      </c>
      <c r="KA30">
        <v>-1.389</v>
      </c>
      <c r="KB30">
        <v>2.2170000000000001</v>
      </c>
      <c r="KC30">
        <v>2.218</v>
      </c>
      <c r="KD30">
        <v>2.4780000000000002</v>
      </c>
      <c r="KE30">
        <v>0.64500000000000002</v>
      </c>
      <c r="KF30">
        <v>-1.917</v>
      </c>
      <c r="KG30">
        <v>1.97</v>
      </c>
      <c r="KH30">
        <v>2.149</v>
      </c>
      <c r="KI30">
        <v>1.377</v>
      </c>
      <c r="KJ30">
        <v>2.6920000000000002</v>
      </c>
      <c r="KK30">
        <v>2.72</v>
      </c>
      <c r="KL30">
        <v>-1.6E-2</v>
      </c>
      <c r="KM30">
        <v>-0.84199999999999997</v>
      </c>
      <c r="KN30">
        <v>2.4209999999999998</v>
      </c>
      <c r="KO30">
        <v>1.8260000000000001</v>
      </c>
      <c r="KP30">
        <v>1.173</v>
      </c>
      <c r="KQ30">
        <v>-3.069</v>
      </c>
      <c r="KR30">
        <v>-2.9609999999999999</v>
      </c>
    </row>
    <row r="31" spans="1:309" x14ac:dyDescent="0.25">
      <c r="A31">
        <v>2016</v>
      </c>
      <c r="B31">
        <v>4</v>
      </c>
      <c r="C31">
        <v>-1.3320000000000001</v>
      </c>
      <c r="D31">
        <v>5.4640000000000004</v>
      </c>
      <c r="E31">
        <v>6.37</v>
      </c>
      <c r="F31">
        <v>5.9050000000000002</v>
      </c>
      <c r="G31">
        <v>5.7220000000000004</v>
      </c>
      <c r="H31">
        <v>2.4449999999999998</v>
      </c>
      <c r="I31">
        <v>4.6689999999999996</v>
      </c>
      <c r="J31">
        <v>-2E-3</v>
      </c>
      <c r="K31">
        <v>8.0000000000000002E-3</v>
      </c>
      <c r="L31">
        <v>5.1180000000000003</v>
      </c>
      <c r="M31">
        <v>6.7050000000000001</v>
      </c>
      <c r="N31">
        <v>4.3940000000000001</v>
      </c>
      <c r="O31">
        <v>6.74</v>
      </c>
      <c r="P31">
        <v>5.2249999999999996</v>
      </c>
      <c r="Q31">
        <v>1.7529999999999999</v>
      </c>
      <c r="R31">
        <v>6.7590000000000003</v>
      </c>
      <c r="S31">
        <v>1.7110000000000001</v>
      </c>
      <c r="T31">
        <v>3.5449999999999999</v>
      </c>
      <c r="U31">
        <v>5.3129999999999997</v>
      </c>
      <c r="V31">
        <v>5.63</v>
      </c>
      <c r="W31">
        <v>6.4779999999999998</v>
      </c>
      <c r="X31">
        <v>5.1710000000000003</v>
      </c>
      <c r="Y31">
        <v>1.752</v>
      </c>
      <c r="Z31">
        <v>4.1509999999999998</v>
      </c>
      <c r="AA31">
        <v>6.1529999999999996</v>
      </c>
      <c r="AB31">
        <v>5.2889999999999997</v>
      </c>
      <c r="AC31">
        <v>6.7130000000000001</v>
      </c>
      <c r="AD31">
        <v>1.71</v>
      </c>
      <c r="AE31">
        <v>7.202</v>
      </c>
      <c r="AF31">
        <v>4.3449999999999998</v>
      </c>
      <c r="AG31">
        <v>5.7240000000000002</v>
      </c>
      <c r="AH31">
        <v>4.6680000000000001</v>
      </c>
      <c r="AI31">
        <v>3.133</v>
      </c>
      <c r="AJ31">
        <v>3.0779999999999998</v>
      </c>
      <c r="AK31">
        <v>5.1210000000000004</v>
      </c>
      <c r="AL31">
        <v>4.976</v>
      </c>
      <c r="AM31">
        <v>5.8570000000000002</v>
      </c>
      <c r="AN31">
        <v>5.3360000000000003</v>
      </c>
      <c r="AO31">
        <v>5.5339999999999998</v>
      </c>
      <c r="AP31">
        <v>6.7430000000000003</v>
      </c>
      <c r="AQ31">
        <v>5.9420000000000002</v>
      </c>
      <c r="AR31">
        <v>4.2859999999999996</v>
      </c>
      <c r="AS31">
        <v>6.6790000000000003</v>
      </c>
      <c r="AT31">
        <v>5.3710000000000004</v>
      </c>
      <c r="AU31">
        <v>5.4080000000000004</v>
      </c>
      <c r="AV31">
        <v>4.2430000000000003</v>
      </c>
      <c r="AW31">
        <v>4.4969999999999999</v>
      </c>
      <c r="AX31">
        <v>5.5460000000000003</v>
      </c>
      <c r="AY31">
        <v>1.111</v>
      </c>
      <c r="AZ31">
        <v>5.2869999999999999</v>
      </c>
      <c r="BA31">
        <v>6.8730000000000002</v>
      </c>
      <c r="BB31">
        <v>5.1989999999999998</v>
      </c>
      <c r="BC31">
        <v>0.95199999999999996</v>
      </c>
      <c r="BD31">
        <v>4.3120000000000003</v>
      </c>
      <c r="BE31">
        <v>5.3159999999999998</v>
      </c>
      <c r="BF31">
        <v>6.8029999999999999</v>
      </c>
      <c r="BG31">
        <v>1.2430000000000001</v>
      </c>
      <c r="BH31">
        <v>3.6850000000000001</v>
      </c>
      <c r="BI31">
        <v>-0.29599999999999999</v>
      </c>
      <c r="BJ31">
        <v>4.944</v>
      </c>
      <c r="BK31">
        <v>5.2649999999999997</v>
      </c>
      <c r="BL31">
        <v>6.0750000000000002</v>
      </c>
      <c r="BM31">
        <v>6.1859999999999999</v>
      </c>
      <c r="BN31">
        <v>5.2960000000000003</v>
      </c>
      <c r="BO31">
        <v>5.5010000000000003</v>
      </c>
      <c r="BP31">
        <v>4.048</v>
      </c>
      <c r="BQ31">
        <v>5.3019999999999996</v>
      </c>
      <c r="BR31">
        <v>4.069</v>
      </c>
      <c r="BS31">
        <v>5.23</v>
      </c>
      <c r="BT31">
        <v>5.492</v>
      </c>
      <c r="BU31">
        <v>6.4020000000000001</v>
      </c>
      <c r="BV31">
        <v>3.0310000000000001</v>
      </c>
      <c r="BW31">
        <v>6.0380000000000003</v>
      </c>
      <c r="BX31">
        <v>4.2359999999999998</v>
      </c>
      <c r="BY31">
        <v>0.59099999999999997</v>
      </c>
      <c r="BZ31">
        <v>6.9770000000000003</v>
      </c>
      <c r="CA31">
        <v>-0.30099999999999999</v>
      </c>
      <c r="CB31">
        <v>5.7370000000000001</v>
      </c>
      <c r="CC31">
        <v>6.319</v>
      </c>
      <c r="CD31">
        <v>6.3049999999999997</v>
      </c>
      <c r="CE31">
        <v>5.5670000000000002</v>
      </c>
      <c r="CF31">
        <v>5.2489999999999997</v>
      </c>
      <c r="CG31">
        <v>3.45</v>
      </c>
      <c r="CH31">
        <v>5.2149999999999999</v>
      </c>
      <c r="CI31">
        <v>2.29</v>
      </c>
      <c r="CJ31">
        <v>4.7130000000000001</v>
      </c>
      <c r="CK31">
        <v>1.77</v>
      </c>
      <c r="CL31">
        <v>5.6230000000000002</v>
      </c>
      <c r="CM31">
        <v>4.0190000000000001</v>
      </c>
      <c r="CN31">
        <v>5.9279999999999999</v>
      </c>
      <c r="CO31">
        <v>6.9870000000000001</v>
      </c>
      <c r="CP31">
        <v>5.5910000000000002</v>
      </c>
      <c r="CQ31">
        <v>0.41499999999999998</v>
      </c>
      <c r="CR31">
        <v>5.4630000000000001</v>
      </c>
      <c r="CS31">
        <v>5.8940000000000001</v>
      </c>
      <c r="CT31">
        <v>5.1870000000000003</v>
      </c>
      <c r="CU31">
        <v>1.9119999999999999</v>
      </c>
      <c r="CV31">
        <v>1.5129999999999999</v>
      </c>
      <c r="CW31">
        <v>6.4370000000000003</v>
      </c>
      <c r="CX31">
        <v>-1.1559999999999999</v>
      </c>
      <c r="CY31">
        <v>5.617</v>
      </c>
      <c r="CZ31">
        <v>6.3630000000000004</v>
      </c>
      <c r="DA31">
        <v>4.5979999999999999</v>
      </c>
      <c r="DB31">
        <v>6.7220000000000004</v>
      </c>
      <c r="DC31">
        <v>5.3029999999999999</v>
      </c>
      <c r="DD31">
        <v>7.0309999999999997</v>
      </c>
      <c r="DE31">
        <v>5.1989999999999998</v>
      </c>
      <c r="DF31">
        <v>5.8360000000000003</v>
      </c>
      <c r="DG31">
        <v>-1.0069999999999999</v>
      </c>
      <c r="DH31">
        <v>5.085</v>
      </c>
      <c r="DI31">
        <v>5.2549999999999999</v>
      </c>
      <c r="DJ31">
        <v>5.3109999999999999</v>
      </c>
      <c r="DK31">
        <v>3.7189999999999999</v>
      </c>
      <c r="DL31">
        <v>2.82</v>
      </c>
      <c r="DM31">
        <v>6.6349999999999998</v>
      </c>
      <c r="DN31">
        <v>5.3819999999999997</v>
      </c>
      <c r="DO31">
        <v>6.4279999999999999</v>
      </c>
      <c r="DP31">
        <v>5.2229999999999999</v>
      </c>
      <c r="DQ31">
        <v>6.625</v>
      </c>
      <c r="DR31">
        <v>5.37</v>
      </c>
      <c r="DS31">
        <v>6.2889999999999997</v>
      </c>
      <c r="DT31">
        <v>5.4950000000000001</v>
      </c>
      <c r="DU31">
        <v>-0.16200000000000001</v>
      </c>
      <c r="DV31">
        <v>7.0140000000000002</v>
      </c>
      <c r="DW31">
        <v>5.1719999999999997</v>
      </c>
      <c r="DX31">
        <v>5.39</v>
      </c>
      <c r="DY31">
        <v>3.7330000000000001</v>
      </c>
      <c r="DZ31">
        <v>6.0780000000000003</v>
      </c>
      <c r="EA31">
        <v>5.6509999999999998</v>
      </c>
      <c r="EB31">
        <v>5.5890000000000004</v>
      </c>
      <c r="EC31">
        <v>6.3070000000000004</v>
      </c>
      <c r="ED31">
        <v>5.8550000000000004</v>
      </c>
      <c r="EE31">
        <v>4.5570000000000004</v>
      </c>
      <c r="EF31">
        <v>5.8970000000000002</v>
      </c>
      <c r="EG31">
        <v>5.7229999999999999</v>
      </c>
      <c r="EH31">
        <v>2.972</v>
      </c>
      <c r="EI31">
        <v>7.1840000000000002</v>
      </c>
      <c r="EJ31">
        <v>3.847</v>
      </c>
      <c r="EK31">
        <v>1.319</v>
      </c>
      <c r="EL31">
        <v>7.0330000000000004</v>
      </c>
      <c r="EM31">
        <v>1.498</v>
      </c>
      <c r="EN31">
        <v>0.51300000000000001</v>
      </c>
      <c r="EO31">
        <v>5.3129999999999997</v>
      </c>
      <c r="EP31">
        <v>7.149</v>
      </c>
      <c r="EQ31">
        <v>6.4089999999999998</v>
      </c>
      <c r="ER31">
        <v>2.9790000000000001</v>
      </c>
      <c r="ES31">
        <v>6.1609999999999996</v>
      </c>
      <c r="ET31">
        <v>5.1719999999999997</v>
      </c>
      <c r="EU31">
        <v>5.8650000000000002</v>
      </c>
      <c r="EV31">
        <v>6.2919999999999998</v>
      </c>
      <c r="EW31">
        <v>6.7759999999999998</v>
      </c>
      <c r="EX31">
        <v>5.6909999999999998</v>
      </c>
      <c r="EY31">
        <v>4.806</v>
      </c>
      <c r="EZ31">
        <v>5.859</v>
      </c>
      <c r="FA31">
        <v>5.8550000000000004</v>
      </c>
      <c r="FB31">
        <v>6.6379999999999999</v>
      </c>
      <c r="FC31">
        <v>3.7810000000000001</v>
      </c>
      <c r="FD31">
        <v>5.8780000000000001</v>
      </c>
      <c r="FE31">
        <v>5.7590000000000003</v>
      </c>
      <c r="FF31">
        <v>4.8449999999999998</v>
      </c>
      <c r="FG31">
        <v>4.5389999999999997</v>
      </c>
      <c r="FH31">
        <v>4.1269999999999998</v>
      </c>
      <c r="FI31">
        <v>3.028</v>
      </c>
      <c r="FJ31">
        <v>2.5649999999999999</v>
      </c>
      <c r="FK31">
        <v>5.5529999999999999</v>
      </c>
      <c r="FL31">
        <v>4.5919999999999996</v>
      </c>
      <c r="FM31">
        <v>6.0279999999999996</v>
      </c>
      <c r="FN31">
        <v>1.0549999999999999</v>
      </c>
      <c r="FO31">
        <v>5.1669999999999998</v>
      </c>
      <c r="FP31">
        <v>4.391</v>
      </c>
      <c r="FQ31">
        <v>5.1829999999999998</v>
      </c>
      <c r="FR31">
        <v>6.0609999999999999</v>
      </c>
      <c r="FS31">
        <v>3.7480000000000002</v>
      </c>
      <c r="FT31">
        <v>6.1660000000000004</v>
      </c>
      <c r="FU31">
        <v>5.9240000000000004</v>
      </c>
      <c r="FV31">
        <v>5.9749999999999996</v>
      </c>
      <c r="FW31">
        <v>5.1159999999999997</v>
      </c>
      <c r="FX31">
        <v>1.171</v>
      </c>
      <c r="FY31">
        <v>6.4909999999999997</v>
      </c>
      <c r="FZ31">
        <v>5.9740000000000002</v>
      </c>
      <c r="GA31">
        <v>3.5680000000000001</v>
      </c>
      <c r="GB31">
        <v>-1.43</v>
      </c>
      <c r="GC31">
        <v>2.0539999999999998</v>
      </c>
      <c r="GD31">
        <v>1.486</v>
      </c>
      <c r="GE31">
        <v>5.4169999999999998</v>
      </c>
      <c r="GF31">
        <v>4.6980000000000004</v>
      </c>
      <c r="GG31">
        <v>1.47</v>
      </c>
      <c r="GH31">
        <v>4.9720000000000004</v>
      </c>
      <c r="GI31">
        <v>5.4349999999999996</v>
      </c>
      <c r="GJ31">
        <v>6.3220000000000001</v>
      </c>
      <c r="GK31">
        <v>6.452</v>
      </c>
      <c r="GL31">
        <v>5.9160000000000004</v>
      </c>
      <c r="GM31">
        <v>2.0059999999999998</v>
      </c>
      <c r="GN31">
        <v>5.6289999999999996</v>
      </c>
      <c r="GO31">
        <v>6.4349999999999996</v>
      </c>
      <c r="GP31">
        <v>4.2080000000000002</v>
      </c>
      <c r="GQ31">
        <v>4.2960000000000003</v>
      </c>
      <c r="GR31">
        <v>5.3079999999999998</v>
      </c>
      <c r="GS31">
        <v>2.44</v>
      </c>
      <c r="GT31">
        <v>5.79</v>
      </c>
      <c r="GU31">
        <v>6.649</v>
      </c>
      <c r="GV31">
        <v>0.70599999999999996</v>
      </c>
      <c r="GW31">
        <v>6.29</v>
      </c>
      <c r="GX31">
        <v>7.0220000000000002</v>
      </c>
      <c r="GY31">
        <v>5.9550000000000001</v>
      </c>
      <c r="GZ31">
        <v>6.319</v>
      </c>
      <c r="HA31">
        <v>5.6959999999999997</v>
      </c>
      <c r="HB31">
        <v>4.5890000000000004</v>
      </c>
      <c r="HC31">
        <v>-6.9000000000000006E-2</v>
      </c>
      <c r="HD31">
        <v>0.91100000000000003</v>
      </c>
      <c r="HE31">
        <v>5.3319999999999999</v>
      </c>
      <c r="HF31">
        <v>6.2270000000000003</v>
      </c>
      <c r="HG31">
        <v>1.33</v>
      </c>
      <c r="HH31">
        <v>5.8890000000000002</v>
      </c>
      <c r="HI31">
        <v>3.2890000000000001</v>
      </c>
      <c r="HJ31">
        <v>4.593</v>
      </c>
      <c r="HK31">
        <v>4.8099999999999996</v>
      </c>
      <c r="HL31">
        <v>6.7370000000000001</v>
      </c>
      <c r="HM31">
        <v>6.7809999999999997</v>
      </c>
      <c r="HN31">
        <v>1.7589999999999999</v>
      </c>
      <c r="HO31">
        <v>5.1520000000000001</v>
      </c>
      <c r="HP31">
        <v>1.052</v>
      </c>
      <c r="HQ31">
        <v>6.48</v>
      </c>
      <c r="HR31">
        <v>5.5209999999999999</v>
      </c>
      <c r="HS31">
        <v>4.3970000000000002</v>
      </c>
      <c r="HT31">
        <v>6.1710000000000003</v>
      </c>
      <c r="HU31">
        <v>4.1150000000000002</v>
      </c>
      <c r="HV31">
        <v>4.165</v>
      </c>
      <c r="HW31">
        <v>3.7930000000000001</v>
      </c>
      <c r="HX31">
        <v>5.548</v>
      </c>
      <c r="HY31">
        <v>5.9249999999999998</v>
      </c>
      <c r="HZ31">
        <v>-0.161</v>
      </c>
      <c r="IA31">
        <v>4.6509999999999998</v>
      </c>
      <c r="IB31">
        <v>5.8929999999999998</v>
      </c>
      <c r="IC31">
        <v>5.4260000000000002</v>
      </c>
      <c r="ID31">
        <v>4.6680000000000001</v>
      </c>
      <c r="IE31">
        <v>3.0990000000000002</v>
      </c>
      <c r="IF31">
        <v>5.7389999999999999</v>
      </c>
      <c r="IG31">
        <v>6.5789999999999997</v>
      </c>
      <c r="IH31">
        <v>6.4039999999999999</v>
      </c>
      <c r="II31">
        <v>5.7939999999999996</v>
      </c>
      <c r="IJ31">
        <v>5.3070000000000004</v>
      </c>
      <c r="IK31">
        <v>4.2169999999999996</v>
      </c>
      <c r="IL31">
        <v>5.093</v>
      </c>
      <c r="IM31">
        <v>6.8019999999999996</v>
      </c>
      <c r="IN31">
        <v>6.0659999999999998</v>
      </c>
      <c r="IO31">
        <v>4.8310000000000004</v>
      </c>
      <c r="IP31">
        <v>1.5660000000000001</v>
      </c>
      <c r="IQ31">
        <v>5.5919999999999996</v>
      </c>
      <c r="IR31">
        <v>5.9379999999999997</v>
      </c>
      <c r="IS31">
        <v>6.3949999999999996</v>
      </c>
      <c r="IT31">
        <v>5.1239999999999997</v>
      </c>
      <c r="IU31">
        <v>6.1139999999999999</v>
      </c>
      <c r="IV31">
        <v>5.8109999999999999</v>
      </c>
      <c r="IW31">
        <v>4.867</v>
      </c>
      <c r="IX31">
        <v>2.3769999999999998</v>
      </c>
      <c r="IY31">
        <v>5.5119999999999996</v>
      </c>
      <c r="IZ31">
        <v>5.51</v>
      </c>
      <c r="JA31">
        <v>5.79</v>
      </c>
      <c r="JB31">
        <v>5.1159999999999997</v>
      </c>
      <c r="JC31">
        <v>5.4550000000000001</v>
      </c>
      <c r="JD31">
        <v>4.9160000000000004</v>
      </c>
      <c r="JE31">
        <v>3.43</v>
      </c>
      <c r="JF31">
        <v>6.11</v>
      </c>
      <c r="JG31">
        <v>6.7249999999999996</v>
      </c>
      <c r="JH31">
        <v>5.1559999999999997</v>
      </c>
      <c r="JI31">
        <v>1.212</v>
      </c>
      <c r="JJ31">
        <v>5.2809999999999997</v>
      </c>
      <c r="JK31">
        <v>1.8080000000000001</v>
      </c>
      <c r="JL31">
        <v>5.407</v>
      </c>
      <c r="JM31">
        <v>5.6459999999999999</v>
      </c>
      <c r="JN31">
        <v>5.6429999999999998</v>
      </c>
      <c r="JO31">
        <v>6.0149999999999997</v>
      </c>
      <c r="JP31">
        <v>2.0670000000000002</v>
      </c>
      <c r="JQ31">
        <v>5.1319999999999997</v>
      </c>
      <c r="JR31">
        <v>5.5179999999999998</v>
      </c>
      <c r="JS31">
        <v>5.8529999999999998</v>
      </c>
      <c r="JT31">
        <v>5.3620000000000001</v>
      </c>
      <c r="JU31">
        <v>5.7679999999999998</v>
      </c>
      <c r="JV31">
        <v>4.7759999999999998</v>
      </c>
      <c r="JW31">
        <v>6.4139999999999997</v>
      </c>
      <c r="JX31">
        <v>5.4720000000000004</v>
      </c>
      <c r="JY31">
        <v>6.8090000000000002</v>
      </c>
      <c r="JZ31">
        <v>5.47</v>
      </c>
      <c r="KA31">
        <v>0.86899999999999999</v>
      </c>
      <c r="KB31">
        <v>4.8079999999999998</v>
      </c>
      <c r="KC31">
        <v>5.2240000000000002</v>
      </c>
      <c r="KD31">
        <v>5.7409999999999997</v>
      </c>
      <c r="KE31">
        <v>2.6040000000000001</v>
      </c>
      <c r="KF31">
        <v>1.585</v>
      </c>
      <c r="KG31">
        <v>5.0129999999999999</v>
      </c>
      <c r="KH31">
        <v>4.6059999999999999</v>
      </c>
      <c r="KI31">
        <v>3.7749999999999999</v>
      </c>
      <c r="KJ31">
        <v>5.5</v>
      </c>
      <c r="KK31">
        <v>5.9729999999999999</v>
      </c>
      <c r="KL31">
        <v>2.7730000000000001</v>
      </c>
      <c r="KM31">
        <v>1.7130000000000001</v>
      </c>
      <c r="KN31">
        <v>5.2670000000000003</v>
      </c>
      <c r="KO31">
        <v>4.2350000000000003</v>
      </c>
      <c r="KP31">
        <v>3.3969999999999998</v>
      </c>
      <c r="KQ31">
        <v>1.532</v>
      </c>
      <c r="KR31">
        <v>1.7170000000000001</v>
      </c>
    </row>
    <row r="32" spans="1:309" x14ac:dyDescent="0.25">
      <c r="A32">
        <v>2016</v>
      </c>
      <c r="B32">
        <v>5</v>
      </c>
      <c r="C32">
        <v>5.6870000000000003</v>
      </c>
      <c r="D32">
        <v>12.472</v>
      </c>
      <c r="E32">
        <v>12.831</v>
      </c>
      <c r="F32">
        <v>12.553000000000001</v>
      </c>
      <c r="G32">
        <v>12.801</v>
      </c>
      <c r="H32">
        <v>9.3049999999999997</v>
      </c>
      <c r="I32">
        <v>11.234</v>
      </c>
      <c r="J32">
        <v>6.8019999999999996</v>
      </c>
      <c r="K32">
        <v>7.8090000000000002</v>
      </c>
      <c r="L32">
        <v>12.316000000000001</v>
      </c>
      <c r="M32">
        <v>14.04</v>
      </c>
      <c r="N32">
        <v>11.137</v>
      </c>
      <c r="O32">
        <v>13.734999999999999</v>
      </c>
      <c r="P32">
        <v>11.619</v>
      </c>
      <c r="Q32">
        <v>9.5299999999999994</v>
      </c>
      <c r="R32">
        <v>14.182</v>
      </c>
      <c r="S32">
        <v>9.9909999999999997</v>
      </c>
      <c r="T32">
        <v>10.832000000000001</v>
      </c>
      <c r="U32">
        <v>12.411</v>
      </c>
      <c r="V32">
        <v>12.638999999999999</v>
      </c>
      <c r="W32">
        <v>12.093</v>
      </c>
      <c r="X32">
        <v>12.045</v>
      </c>
      <c r="Y32">
        <v>8.6449999999999996</v>
      </c>
      <c r="Z32">
        <v>10.968</v>
      </c>
      <c r="AA32">
        <v>13.417999999999999</v>
      </c>
      <c r="AB32">
        <v>12.044</v>
      </c>
      <c r="AC32">
        <v>12.935</v>
      </c>
      <c r="AD32">
        <v>8.7840000000000007</v>
      </c>
      <c r="AE32">
        <v>14.327999999999999</v>
      </c>
      <c r="AF32">
        <v>11.334</v>
      </c>
      <c r="AG32">
        <v>12.704000000000001</v>
      </c>
      <c r="AH32">
        <v>11.457000000000001</v>
      </c>
      <c r="AI32">
        <v>10.375999999999999</v>
      </c>
      <c r="AJ32">
        <v>10.097</v>
      </c>
      <c r="AK32">
        <v>11.449</v>
      </c>
      <c r="AL32">
        <v>12.164999999999999</v>
      </c>
      <c r="AM32">
        <v>12.548999999999999</v>
      </c>
      <c r="AN32">
        <v>12.180999999999999</v>
      </c>
      <c r="AO32">
        <v>12.394</v>
      </c>
      <c r="AP32">
        <v>14.125999999999999</v>
      </c>
      <c r="AQ32">
        <v>12.323</v>
      </c>
      <c r="AR32">
        <v>11.182</v>
      </c>
      <c r="AS32">
        <v>13.395</v>
      </c>
      <c r="AT32">
        <v>11.975</v>
      </c>
      <c r="AU32">
        <v>11.744</v>
      </c>
      <c r="AV32">
        <v>11.016999999999999</v>
      </c>
      <c r="AW32">
        <v>11.388</v>
      </c>
      <c r="AX32">
        <v>12.645</v>
      </c>
      <c r="AY32">
        <v>8.3379999999999992</v>
      </c>
      <c r="AZ32">
        <v>11.766999999999999</v>
      </c>
      <c r="BA32">
        <v>12.856</v>
      </c>
      <c r="BB32">
        <v>12.151999999999999</v>
      </c>
      <c r="BC32">
        <v>8.2479999999999993</v>
      </c>
      <c r="BD32">
        <v>10.837999999999999</v>
      </c>
      <c r="BE32">
        <v>12.750999999999999</v>
      </c>
      <c r="BF32">
        <v>13.323</v>
      </c>
      <c r="BG32">
        <v>9.1709999999999994</v>
      </c>
      <c r="BH32">
        <v>10.452</v>
      </c>
      <c r="BI32">
        <v>7.92</v>
      </c>
      <c r="BJ32">
        <v>12.010999999999999</v>
      </c>
      <c r="BK32">
        <v>12.726000000000001</v>
      </c>
      <c r="BL32">
        <v>12.371</v>
      </c>
      <c r="BM32">
        <v>12.259</v>
      </c>
      <c r="BN32">
        <v>12.131</v>
      </c>
      <c r="BO32">
        <v>12.503</v>
      </c>
      <c r="BP32">
        <v>10.968999999999999</v>
      </c>
      <c r="BQ32">
        <v>11.984</v>
      </c>
      <c r="BR32">
        <v>11.04</v>
      </c>
      <c r="BS32">
        <v>12.2</v>
      </c>
      <c r="BT32">
        <v>11.808999999999999</v>
      </c>
      <c r="BU32">
        <v>13.147</v>
      </c>
      <c r="BV32">
        <v>9.1010000000000009</v>
      </c>
      <c r="BW32">
        <v>13.189</v>
      </c>
      <c r="BX32">
        <v>11.02</v>
      </c>
      <c r="BY32">
        <v>7.4779999999999998</v>
      </c>
      <c r="BZ32">
        <v>14.085000000000001</v>
      </c>
      <c r="CA32">
        <v>5.4370000000000003</v>
      </c>
      <c r="CB32">
        <v>12.539</v>
      </c>
      <c r="CC32">
        <v>13.744</v>
      </c>
      <c r="CD32">
        <v>13.714</v>
      </c>
      <c r="CE32">
        <v>12.007999999999999</v>
      </c>
      <c r="CF32">
        <v>12.151</v>
      </c>
      <c r="CG32">
        <v>10.183</v>
      </c>
      <c r="CH32">
        <v>11.657999999999999</v>
      </c>
      <c r="CI32">
        <v>9.452</v>
      </c>
      <c r="CJ32">
        <v>11.426</v>
      </c>
      <c r="CK32">
        <v>8.9960000000000004</v>
      </c>
      <c r="CL32">
        <v>12.162000000000001</v>
      </c>
      <c r="CM32">
        <v>10.839</v>
      </c>
      <c r="CN32">
        <v>12.717000000000001</v>
      </c>
      <c r="CO32">
        <v>13.678000000000001</v>
      </c>
      <c r="CP32">
        <v>13.045999999999999</v>
      </c>
      <c r="CQ32">
        <v>8.1259999999999994</v>
      </c>
      <c r="CR32">
        <v>12.44</v>
      </c>
      <c r="CS32">
        <v>12.824</v>
      </c>
      <c r="CT32">
        <v>12.289</v>
      </c>
      <c r="CU32">
        <v>9.5939999999999994</v>
      </c>
      <c r="CV32">
        <v>8.9909999999999997</v>
      </c>
      <c r="CW32">
        <v>12.018000000000001</v>
      </c>
      <c r="CX32">
        <v>7.9749999999999996</v>
      </c>
      <c r="CY32">
        <v>11.97</v>
      </c>
      <c r="CZ32">
        <v>12.538</v>
      </c>
      <c r="DA32">
        <v>11.287000000000001</v>
      </c>
      <c r="DB32">
        <v>12.715</v>
      </c>
      <c r="DC32">
        <v>12.456</v>
      </c>
      <c r="DD32">
        <v>14.27</v>
      </c>
      <c r="DE32">
        <v>11.702</v>
      </c>
      <c r="DF32">
        <v>13.111000000000001</v>
      </c>
      <c r="DG32">
        <v>7.218</v>
      </c>
      <c r="DH32">
        <v>11.983000000000001</v>
      </c>
      <c r="DI32">
        <v>12.242000000000001</v>
      </c>
      <c r="DJ32">
        <v>12.237</v>
      </c>
      <c r="DK32">
        <v>10.741</v>
      </c>
      <c r="DL32">
        <v>9.8800000000000008</v>
      </c>
      <c r="DM32">
        <v>13.195</v>
      </c>
      <c r="DN32">
        <v>12.090999999999999</v>
      </c>
      <c r="DO32">
        <v>12.896000000000001</v>
      </c>
      <c r="DP32">
        <v>11.714</v>
      </c>
      <c r="DQ32">
        <v>13.355</v>
      </c>
      <c r="DR32">
        <v>11.866</v>
      </c>
      <c r="DS32">
        <v>13.821</v>
      </c>
      <c r="DT32">
        <v>12.433999999999999</v>
      </c>
      <c r="DU32">
        <v>6.5570000000000004</v>
      </c>
      <c r="DV32">
        <v>13.999000000000001</v>
      </c>
      <c r="DW32">
        <v>11.86</v>
      </c>
      <c r="DX32">
        <v>11.996</v>
      </c>
      <c r="DY32">
        <v>10.766999999999999</v>
      </c>
      <c r="DZ32">
        <v>12.859</v>
      </c>
      <c r="EA32">
        <v>12.648</v>
      </c>
      <c r="EB32">
        <v>12.557</v>
      </c>
      <c r="EC32">
        <v>12.426</v>
      </c>
      <c r="ED32">
        <v>12.239000000000001</v>
      </c>
      <c r="EE32">
        <v>11.551</v>
      </c>
      <c r="EF32">
        <v>12.773</v>
      </c>
      <c r="EG32">
        <v>12.919</v>
      </c>
      <c r="EH32">
        <v>10.116</v>
      </c>
      <c r="EI32">
        <v>14.305999999999999</v>
      </c>
      <c r="EJ32">
        <v>10.949</v>
      </c>
      <c r="EK32">
        <v>8.8539999999999992</v>
      </c>
      <c r="EL32">
        <v>14.304</v>
      </c>
      <c r="EM32">
        <v>9.3379999999999992</v>
      </c>
      <c r="EN32">
        <v>8.1210000000000004</v>
      </c>
      <c r="EO32">
        <v>12.426</v>
      </c>
      <c r="EP32">
        <v>14.224</v>
      </c>
      <c r="EQ32">
        <v>12.428000000000001</v>
      </c>
      <c r="ER32">
        <v>9.6679999999999993</v>
      </c>
      <c r="ES32">
        <v>12.342000000000001</v>
      </c>
      <c r="ET32">
        <v>12.148999999999999</v>
      </c>
      <c r="EU32">
        <v>11.901999999999999</v>
      </c>
      <c r="EV32">
        <v>12.226000000000001</v>
      </c>
      <c r="EW32">
        <v>12.76</v>
      </c>
      <c r="EX32">
        <v>12.327</v>
      </c>
      <c r="EY32">
        <v>11.775</v>
      </c>
      <c r="EZ32">
        <v>13.304</v>
      </c>
      <c r="FA32">
        <v>12.627000000000001</v>
      </c>
      <c r="FB32">
        <v>13.301</v>
      </c>
      <c r="FC32">
        <v>10.675000000000001</v>
      </c>
      <c r="FD32">
        <v>12.337999999999999</v>
      </c>
      <c r="FE32">
        <v>12.696</v>
      </c>
      <c r="FF32">
        <v>11.992000000000001</v>
      </c>
      <c r="FG32">
        <v>11.24</v>
      </c>
      <c r="FH32">
        <v>11.007999999999999</v>
      </c>
      <c r="FI32">
        <v>9.8770000000000007</v>
      </c>
      <c r="FJ32">
        <v>9.3620000000000001</v>
      </c>
      <c r="FK32">
        <v>12.429</v>
      </c>
      <c r="FL32">
        <v>11.502000000000001</v>
      </c>
      <c r="FM32">
        <v>12.625999999999999</v>
      </c>
      <c r="FN32">
        <v>8.9879999999999995</v>
      </c>
      <c r="FO32">
        <v>12.000999999999999</v>
      </c>
      <c r="FP32">
        <v>11.233000000000001</v>
      </c>
      <c r="FQ32">
        <v>12.163</v>
      </c>
      <c r="FR32">
        <v>13.106999999999999</v>
      </c>
      <c r="FS32">
        <v>10.579000000000001</v>
      </c>
      <c r="FT32">
        <v>12.433</v>
      </c>
      <c r="FU32">
        <v>13.308</v>
      </c>
      <c r="FV32">
        <v>12.028</v>
      </c>
      <c r="FW32">
        <v>11.337999999999999</v>
      </c>
      <c r="FX32">
        <v>9.7129999999999992</v>
      </c>
      <c r="FY32">
        <v>13.157</v>
      </c>
      <c r="FZ32">
        <v>13.359</v>
      </c>
      <c r="GA32">
        <v>10.569000000000001</v>
      </c>
      <c r="GB32">
        <v>5.1050000000000004</v>
      </c>
      <c r="GC32">
        <v>9.7680000000000007</v>
      </c>
      <c r="GD32">
        <v>9.3620000000000001</v>
      </c>
      <c r="GE32">
        <v>11.824</v>
      </c>
      <c r="GF32">
        <v>11.648</v>
      </c>
      <c r="GG32">
        <v>8.1880000000000006</v>
      </c>
      <c r="GH32">
        <v>12.231</v>
      </c>
      <c r="GI32">
        <v>12.592000000000001</v>
      </c>
      <c r="GJ32">
        <v>11.551</v>
      </c>
      <c r="GK32">
        <v>13.616</v>
      </c>
      <c r="GL32">
        <v>12.436</v>
      </c>
      <c r="GM32">
        <v>10.35</v>
      </c>
      <c r="GN32">
        <v>12.132</v>
      </c>
      <c r="GO32">
        <v>13.423999999999999</v>
      </c>
      <c r="GP32">
        <v>11.196999999999999</v>
      </c>
      <c r="GQ32">
        <v>10.558</v>
      </c>
      <c r="GR32">
        <v>12.233000000000001</v>
      </c>
      <c r="GS32">
        <v>9.8559999999999999</v>
      </c>
      <c r="GT32">
        <v>12.72</v>
      </c>
      <c r="GU32">
        <v>12.483000000000001</v>
      </c>
      <c r="GV32">
        <v>7.915</v>
      </c>
      <c r="GW32">
        <v>12.031000000000001</v>
      </c>
      <c r="GX32">
        <v>14.295</v>
      </c>
      <c r="GY32">
        <v>12.887</v>
      </c>
      <c r="GZ32">
        <v>12.648</v>
      </c>
      <c r="HA32">
        <v>12.648999999999999</v>
      </c>
      <c r="HB32">
        <v>11.244999999999999</v>
      </c>
      <c r="HC32">
        <v>6.0270000000000001</v>
      </c>
      <c r="HD32">
        <v>7.9169999999999998</v>
      </c>
      <c r="HE32">
        <v>12.371</v>
      </c>
      <c r="HF32">
        <v>12.356999999999999</v>
      </c>
      <c r="HG32">
        <v>8.56</v>
      </c>
      <c r="HH32">
        <v>12.89</v>
      </c>
      <c r="HI32">
        <v>10.039</v>
      </c>
      <c r="HJ32">
        <v>11.195</v>
      </c>
      <c r="HK32">
        <v>11.688000000000001</v>
      </c>
      <c r="HL32">
        <v>14.132</v>
      </c>
      <c r="HM32">
        <v>13.938000000000001</v>
      </c>
      <c r="HN32">
        <v>8.5540000000000003</v>
      </c>
      <c r="HO32">
        <v>12.452999999999999</v>
      </c>
      <c r="HP32">
        <v>7.7930000000000001</v>
      </c>
      <c r="HQ32">
        <v>12.654</v>
      </c>
      <c r="HR32">
        <v>12.53</v>
      </c>
      <c r="HS32">
        <v>11.125999999999999</v>
      </c>
      <c r="HT32">
        <v>12.183</v>
      </c>
      <c r="HU32">
        <v>10.981</v>
      </c>
      <c r="HV32">
        <v>11.103</v>
      </c>
      <c r="HW32">
        <v>10.396000000000001</v>
      </c>
      <c r="HX32">
        <v>12.403</v>
      </c>
      <c r="HY32">
        <v>12.933999999999999</v>
      </c>
      <c r="HZ32">
        <v>6.569</v>
      </c>
      <c r="IA32">
        <v>11.565</v>
      </c>
      <c r="IB32">
        <v>12.372</v>
      </c>
      <c r="IC32">
        <v>12.178000000000001</v>
      </c>
      <c r="ID32">
        <v>11.292999999999999</v>
      </c>
      <c r="IE32">
        <v>9.8420000000000005</v>
      </c>
      <c r="IF32">
        <v>12.788</v>
      </c>
      <c r="IG32">
        <v>12.473000000000001</v>
      </c>
      <c r="IH32">
        <v>12.359</v>
      </c>
      <c r="II32">
        <v>12.273</v>
      </c>
      <c r="IJ32">
        <v>12.369</v>
      </c>
      <c r="IK32">
        <v>11.218999999999999</v>
      </c>
      <c r="IL32">
        <v>12.419</v>
      </c>
      <c r="IM32">
        <v>13.086</v>
      </c>
      <c r="IN32">
        <v>12.225</v>
      </c>
      <c r="IO32">
        <v>11.468</v>
      </c>
      <c r="IP32">
        <v>8.3819999999999997</v>
      </c>
      <c r="IQ32">
        <v>12.561999999999999</v>
      </c>
      <c r="IR32">
        <v>12.198</v>
      </c>
      <c r="IS32">
        <v>12.948</v>
      </c>
      <c r="IT32">
        <v>12</v>
      </c>
      <c r="IU32">
        <v>12.468999999999999</v>
      </c>
      <c r="IV32">
        <v>13.08</v>
      </c>
      <c r="IW32">
        <v>11.827999999999999</v>
      </c>
      <c r="IX32">
        <v>9.5969999999999995</v>
      </c>
      <c r="IY32">
        <v>12.51</v>
      </c>
      <c r="IZ32">
        <v>12.539</v>
      </c>
      <c r="JA32">
        <v>12.448</v>
      </c>
      <c r="JB32">
        <v>12.432</v>
      </c>
      <c r="JC32">
        <v>11.907999999999999</v>
      </c>
      <c r="JD32">
        <v>11.823</v>
      </c>
      <c r="JE32">
        <v>10.358000000000001</v>
      </c>
      <c r="JF32">
        <v>12.451000000000001</v>
      </c>
      <c r="JG32">
        <v>13.272</v>
      </c>
      <c r="JH32">
        <v>12.398</v>
      </c>
      <c r="JI32">
        <v>8.16</v>
      </c>
      <c r="JJ32">
        <v>12.28</v>
      </c>
      <c r="JK32">
        <v>9.6649999999999991</v>
      </c>
      <c r="JL32">
        <v>12.564</v>
      </c>
      <c r="JM32">
        <v>11.775</v>
      </c>
      <c r="JN32">
        <v>12.327999999999999</v>
      </c>
      <c r="JO32">
        <v>12.095000000000001</v>
      </c>
      <c r="JP32">
        <v>9.7579999999999991</v>
      </c>
      <c r="JQ32">
        <v>12.02</v>
      </c>
      <c r="JR32">
        <v>12.94</v>
      </c>
      <c r="JS32">
        <v>11.443</v>
      </c>
      <c r="JT32">
        <v>12.193</v>
      </c>
      <c r="JU32">
        <v>12.901</v>
      </c>
      <c r="JV32">
        <v>12.005000000000001</v>
      </c>
      <c r="JW32">
        <v>12.404</v>
      </c>
      <c r="JX32">
        <v>11.821999999999999</v>
      </c>
      <c r="JY32">
        <v>14.018000000000001</v>
      </c>
      <c r="JZ32">
        <v>12.420999999999999</v>
      </c>
      <c r="KA32">
        <v>7.3949999999999996</v>
      </c>
      <c r="KB32">
        <v>11.654</v>
      </c>
      <c r="KC32">
        <v>11.679</v>
      </c>
      <c r="KD32">
        <v>13.132999999999999</v>
      </c>
      <c r="KE32">
        <v>9.484</v>
      </c>
      <c r="KF32">
        <v>9.9649999999999999</v>
      </c>
      <c r="KG32">
        <v>12.147</v>
      </c>
      <c r="KH32">
        <v>10.673999999999999</v>
      </c>
      <c r="KI32">
        <v>10.827</v>
      </c>
      <c r="KJ32">
        <v>12.228</v>
      </c>
      <c r="KK32">
        <v>13.456</v>
      </c>
      <c r="KL32">
        <v>9.4420000000000002</v>
      </c>
      <c r="KM32">
        <v>8.7940000000000005</v>
      </c>
      <c r="KN32">
        <v>12.268000000000001</v>
      </c>
      <c r="KO32">
        <v>11.167999999999999</v>
      </c>
      <c r="KP32">
        <v>10.494</v>
      </c>
      <c r="KQ32">
        <v>9.9049999999999994</v>
      </c>
      <c r="KR32">
        <v>10.391999999999999</v>
      </c>
    </row>
    <row r="33" spans="1:304" x14ac:dyDescent="0.25">
      <c r="A33">
        <v>2016</v>
      </c>
      <c r="B33">
        <v>6</v>
      </c>
      <c r="C33">
        <v>7.742</v>
      </c>
      <c r="D33">
        <v>15.952</v>
      </c>
      <c r="E33">
        <v>16.228999999999999</v>
      </c>
      <c r="F33">
        <v>15.837999999999999</v>
      </c>
      <c r="G33">
        <v>15.83</v>
      </c>
      <c r="H33">
        <v>13.861000000000001</v>
      </c>
      <c r="I33">
        <v>15.294</v>
      </c>
      <c r="J33">
        <v>10.968999999999999</v>
      </c>
      <c r="K33">
        <v>11.204000000000001</v>
      </c>
      <c r="L33">
        <v>15.358000000000001</v>
      </c>
      <c r="M33">
        <v>16.745000000000001</v>
      </c>
      <c r="N33">
        <v>14.964</v>
      </c>
      <c r="O33">
        <v>16.649999999999999</v>
      </c>
      <c r="P33">
        <v>15.868</v>
      </c>
      <c r="Q33">
        <v>13.18</v>
      </c>
      <c r="R33">
        <v>16.763000000000002</v>
      </c>
      <c r="S33">
        <v>13.151</v>
      </c>
      <c r="T33">
        <v>14.930999999999999</v>
      </c>
      <c r="U33">
        <v>15.426</v>
      </c>
      <c r="V33">
        <v>15.746</v>
      </c>
      <c r="W33">
        <v>16.02</v>
      </c>
      <c r="X33">
        <v>15.629</v>
      </c>
      <c r="Y33">
        <v>13.039</v>
      </c>
      <c r="Z33">
        <v>14.644</v>
      </c>
      <c r="AA33">
        <v>16.190000000000001</v>
      </c>
      <c r="AB33">
        <v>15.959</v>
      </c>
      <c r="AC33">
        <v>16.341999999999999</v>
      </c>
      <c r="AD33">
        <v>12.946</v>
      </c>
      <c r="AE33">
        <v>17.09</v>
      </c>
      <c r="AF33">
        <v>15.343</v>
      </c>
      <c r="AG33">
        <v>16.146999999999998</v>
      </c>
      <c r="AH33">
        <v>15.454000000000001</v>
      </c>
      <c r="AI33">
        <v>14.413</v>
      </c>
      <c r="AJ33">
        <v>14.237</v>
      </c>
      <c r="AK33">
        <v>15.675000000000001</v>
      </c>
      <c r="AL33">
        <v>15.151</v>
      </c>
      <c r="AM33">
        <v>15.805</v>
      </c>
      <c r="AN33">
        <v>15.625999999999999</v>
      </c>
      <c r="AO33">
        <v>15.862</v>
      </c>
      <c r="AP33">
        <v>16.704999999999998</v>
      </c>
      <c r="AQ33">
        <v>15.708</v>
      </c>
      <c r="AR33">
        <v>14.994999999999999</v>
      </c>
      <c r="AS33">
        <v>16.55</v>
      </c>
      <c r="AT33">
        <v>15.023999999999999</v>
      </c>
      <c r="AU33">
        <v>15.641</v>
      </c>
      <c r="AV33">
        <v>14.956</v>
      </c>
      <c r="AW33">
        <v>14.997999999999999</v>
      </c>
      <c r="AX33">
        <v>16.228000000000002</v>
      </c>
      <c r="AY33">
        <v>12.281000000000001</v>
      </c>
      <c r="AZ33">
        <v>15.768000000000001</v>
      </c>
      <c r="BA33">
        <v>16.649999999999999</v>
      </c>
      <c r="BB33">
        <v>15.77</v>
      </c>
      <c r="BC33">
        <v>11.766</v>
      </c>
      <c r="BD33">
        <v>14.662000000000001</v>
      </c>
      <c r="BE33">
        <v>15.621</v>
      </c>
      <c r="BF33">
        <v>16.681000000000001</v>
      </c>
      <c r="BG33">
        <v>12.249000000000001</v>
      </c>
      <c r="BH33">
        <v>14.377000000000001</v>
      </c>
      <c r="BI33">
        <v>10.598000000000001</v>
      </c>
      <c r="BJ33">
        <v>15.727</v>
      </c>
      <c r="BK33">
        <v>15.574</v>
      </c>
      <c r="BL33">
        <v>15.821</v>
      </c>
      <c r="BM33">
        <v>15.785</v>
      </c>
      <c r="BN33">
        <v>15.199</v>
      </c>
      <c r="BO33">
        <v>15.952999999999999</v>
      </c>
      <c r="BP33">
        <v>15.031000000000001</v>
      </c>
      <c r="BQ33">
        <v>15.561999999999999</v>
      </c>
      <c r="BR33">
        <v>14.704000000000001</v>
      </c>
      <c r="BS33">
        <v>15.593</v>
      </c>
      <c r="BT33">
        <v>15.734</v>
      </c>
      <c r="BU33">
        <v>16.387</v>
      </c>
      <c r="BV33">
        <v>13.368</v>
      </c>
      <c r="BW33">
        <v>16.094999999999999</v>
      </c>
      <c r="BX33">
        <v>14.788</v>
      </c>
      <c r="BY33">
        <v>12.186999999999999</v>
      </c>
      <c r="BZ33">
        <v>16.914000000000001</v>
      </c>
      <c r="CA33">
        <v>9.2929999999999993</v>
      </c>
      <c r="CB33">
        <v>15.653</v>
      </c>
      <c r="CC33">
        <v>16.332000000000001</v>
      </c>
      <c r="CD33">
        <v>16.291</v>
      </c>
      <c r="CE33">
        <v>15.823</v>
      </c>
      <c r="CF33">
        <v>15.727</v>
      </c>
      <c r="CG33">
        <v>14.314</v>
      </c>
      <c r="CH33">
        <v>15.794</v>
      </c>
      <c r="CI33">
        <v>13.612</v>
      </c>
      <c r="CJ33">
        <v>15.208</v>
      </c>
      <c r="CK33">
        <v>12.788</v>
      </c>
      <c r="CL33">
        <v>15.486000000000001</v>
      </c>
      <c r="CM33">
        <v>14.653</v>
      </c>
      <c r="CN33">
        <v>16.218</v>
      </c>
      <c r="CO33">
        <v>16.698</v>
      </c>
      <c r="CP33">
        <v>15.939</v>
      </c>
      <c r="CQ33">
        <v>11.904999999999999</v>
      </c>
      <c r="CR33">
        <v>15.93</v>
      </c>
      <c r="CS33">
        <v>16.283000000000001</v>
      </c>
      <c r="CT33">
        <v>15.288</v>
      </c>
      <c r="CU33">
        <v>13.698</v>
      </c>
      <c r="CV33">
        <v>12.752000000000001</v>
      </c>
      <c r="CW33">
        <v>15.866</v>
      </c>
      <c r="CX33">
        <v>10.064</v>
      </c>
      <c r="CY33">
        <v>15.63</v>
      </c>
      <c r="CZ33">
        <v>16.138000000000002</v>
      </c>
      <c r="DA33">
        <v>15.166</v>
      </c>
      <c r="DB33">
        <v>16.352</v>
      </c>
      <c r="DC33">
        <v>16.02</v>
      </c>
      <c r="DD33">
        <v>17.007999999999999</v>
      </c>
      <c r="DE33">
        <v>15.68</v>
      </c>
      <c r="DF33">
        <v>16.076000000000001</v>
      </c>
      <c r="DG33">
        <v>9.4629999999999992</v>
      </c>
      <c r="DH33">
        <v>15.724</v>
      </c>
      <c r="DI33">
        <v>15.728999999999999</v>
      </c>
      <c r="DJ33">
        <v>15.952</v>
      </c>
      <c r="DK33">
        <v>14.458</v>
      </c>
      <c r="DL33">
        <v>14.093</v>
      </c>
      <c r="DM33">
        <v>16.471</v>
      </c>
      <c r="DN33">
        <v>15.647</v>
      </c>
      <c r="DO33">
        <v>16.337</v>
      </c>
      <c r="DP33">
        <v>15.634</v>
      </c>
      <c r="DQ33">
        <v>16.478999999999999</v>
      </c>
      <c r="DR33">
        <v>15.866</v>
      </c>
      <c r="DS33">
        <v>16.532</v>
      </c>
      <c r="DT33">
        <v>16.11</v>
      </c>
      <c r="DU33">
        <v>10.013999999999999</v>
      </c>
      <c r="DV33">
        <v>17.015999999999998</v>
      </c>
      <c r="DW33">
        <v>15.593</v>
      </c>
      <c r="DX33">
        <v>15.555999999999999</v>
      </c>
      <c r="DY33">
        <v>14.538</v>
      </c>
      <c r="DZ33">
        <v>16.077000000000002</v>
      </c>
      <c r="EA33">
        <v>15.641</v>
      </c>
      <c r="EB33">
        <v>16.045999999999999</v>
      </c>
      <c r="EC33">
        <v>15.901999999999999</v>
      </c>
      <c r="ED33">
        <v>16.003</v>
      </c>
      <c r="EE33">
        <v>15.391</v>
      </c>
      <c r="EF33">
        <v>16.285</v>
      </c>
      <c r="EG33">
        <v>15.912000000000001</v>
      </c>
      <c r="EH33">
        <v>14.529</v>
      </c>
      <c r="EI33">
        <v>17.117999999999999</v>
      </c>
      <c r="EJ33">
        <v>14.664999999999999</v>
      </c>
      <c r="EK33">
        <v>12.789</v>
      </c>
      <c r="EL33">
        <v>16.977</v>
      </c>
      <c r="EM33">
        <v>12.846</v>
      </c>
      <c r="EN33">
        <v>11.622999999999999</v>
      </c>
      <c r="EO33">
        <v>15.747999999999999</v>
      </c>
      <c r="EP33">
        <v>17.077000000000002</v>
      </c>
      <c r="EQ33">
        <v>16.329999999999998</v>
      </c>
      <c r="ER33">
        <v>13.521000000000001</v>
      </c>
      <c r="ES33">
        <v>16.004999999999999</v>
      </c>
      <c r="ET33">
        <v>15.535</v>
      </c>
      <c r="EU33">
        <v>15.750999999999999</v>
      </c>
      <c r="EV33">
        <v>16.184999999999999</v>
      </c>
      <c r="EW33">
        <v>15.891999999999999</v>
      </c>
      <c r="EX33">
        <v>15.752000000000001</v>
      </c>
      <c r="EY33">
        <v>14.76</v>
      </c>
      <c r="EZ33">
        <v>16.123000000000001</v>
      </c>
      <c r="FA33">
        <v>15.907</v>
      </c>
      <c r="FB33">
        <v>16.555</v>
      </c>
      <c r="FC33">
        <v>14.641999999999999</v>
      </c>
      <c r="FD33">
        <v>16.131</v>
      </c>
      <c r="FE33">
        <v>16.056000000000001</v>
      </c>
      <c r="FF33">
        <v>14.911</v>
      </c>
      <c r="FG33">
        <v>15.132999999999999</v>
      </c>
      <c r="FH33">
        <v>14.571999999999999</v>
      </c>
      <c r="FI33">
        <v>14.124000000000001</v>
      </c>
      <c r="FJ33">
        <v>13.227</v>
      </c>
      <c r="FK33">
        <v>16.117999999999999</v>
      </c>
      <c r="FL33">
        <v>14.991</v>
      </c>
      <c r="FM33">
        <v>15.92</v>
      </c>
      <c r="FN33">
        <v>12.151</v>
      </c>
      <c r="FO33">
        <v>15.907</v>
      </c>
      <c r="FP33">
        <v>15.1</v>
      </c>
      <c r="FQ33">
        <v>15.782999999999999</v>
      </c>
      <c r="FR33">
        <v>16.02</v>
      </c>
      <c r="FS33">
        <v>14.175000000000001</v>
      </c>
      <c r="FT33">
        <v>16.297999999999998</v>
      </c>
      <c r="FU33">
        <v>16.100999999999999</v>
      </c>
      <c r="FV33">
        <v>16.131</v>
      </c>
      <c r="FW33">
        <v>15.603999999999999</v>
      </c>
      <c r="FX33">
        <v>11.833</v>
      </c>
      <c r="FY33">
        <v>16.399999999999999</v>
      </c>
      <c r="FZ33">
        <v>16.073</v>
      </c>
      <c r="GA33">
        <v>14.304</v>
      </c>
      <c r="GB33">
        <v>7.7359999999999998</v>
      </c>
      <c r="GC33">
        <v>13.212</v>
      </c>
      <c r="GD33">
        <v>12.791</v>
      </c>
      <c r="GE33">
        <v>15.874000000000001</v>
      </c>
      <c r="GF33">
        <v>15.12</v>
      </c>
      <c r="GG33">
        <v>12.428000000000001</v>
      </c>
      <c r="GH33">
        <v>15.212999999999999</v>
      </c>
      <c r="GI33">
        <v>15.909000000000001</v>
      </c>
      <c r="GJ33">
        <v>15.614000000000001</v>
      </c>
      <c r="GK33">
        <v>16.265999999999998</v>
      </c>
      <c r="GL33">
        <v>15.653</v>
      </c>
      <c r="GM33">
        <v>13.265000000000001</v>
      </c>
      <c r="GN33">
        <v>15.439</v>
      </c>
      <c r="GO33">
        <v>16.265000000000001</v>
      </c>
      <c r="GP33">
        <v>15.157</v>
      </c>
      <c r="GQ33">
        <v>14.614000000000001</v>
      </c>
      <c r="GR33">
        <v>15.823</v>
      </c>
      <c r="GS33">
        <v>14.003</v>
      </c>
      <c r="GT33">
        <v>16.172000000000001</v>
      </c>
      <c r="GU33">
        <v>16.222000000000001</v>
      </c>
      <c r="GV33">
        <v>11.856</v>
      </c>
      <c r="GW33">
        <v>16.257000000000001</v>
      </c>
      <c r="GX33">
        <v>16.853999999999999</v>
      </c>
      <c r="GY33">
        <v>16.343</v>
      </c>
      <c r="GZ33">
        <v>16.187999999999999</v>
      </c>
      <c r="HA33">
        <v>16.13</v>
      </c>
      <c r="HB33">
        <v>15.093999999999999</v>
      </c>
      <c r="HC33">
        <v>9.92</v>
      </c>
      <c r="HD33">
        <v>11.836</v>
      </c>
      <c r="HE33">
        <v>15.878</v>
      </c>
      <c r="HF33">
        <v>16.643999999999998</v>
      </c>
      <c r="HG33">
        <v>12.62</v>
      </c>
      <c r="HH33">
        <v>16.312000000000001</v>
      </c>
      <c r="HI33">
        <v>14.263999999999999</v>
      </c>
      <c r="HJ33">
        <v>15.092000000000001</v>
      </c>
      <c r="HK33">
        <v>15.42</v>
      </c>
      <c r="HL33">
        <v>16.725000000000001</v>
      </c>
      <c r="HM33">
        <v>16.622</v>
      </c>
      <c r="HN33">
        <v>13.292999999999999</v>
      </c>
      <c r="HO33">
        <v>15.584</v>
      </c>
      <c r="HP33">
        <v>12.707000000000001</v>
      </c>
      <c r="HQ33">
        <v>16.207999999999998</v>
      </c>
      <c r="HR33">
        <v>15.972</v>
      </c>
      <c r="HS33">
        <v>14.901999999999999</v>
      </c>
      <c r="HT33">
        <v>15.795999999999999</v>
      </c>
      <c r="HU33">
        <v>14.666</v>
      </c>
      <c r="HV33">
        <v>14.817</v>
      </c>
      <c r="HW33">
        <v>14.459</v>
      </c>
      <c r="HX33">
        <v>16.158999999999999</v>
      </c>
      <c r="HY33">
        <v>16.292999999999999</v>
      </c>
      <c r="HZ33">
        <v>11.01</v>
      </c>
      <c r="IA33">
        <v>15.244</v>
      </c>
      <c r="IB33">
        <v>15.747</v>
      </c>
      <c r="IC33">
        <v>15.324999999999999</v>
      </c>
      <c r="ID33">
        <v>15.009</v>
      </c>
      <c r="IE33">
        <v>14.208</v>
      </c>
      <c r="IF33">
        <v>15.67</v>
      </c>
      <c r="IG33">
        <v>16.213000000000001</v>
      </c>
      <c r="IH33">
        <v>16.074000000000002</v>
      </c>
      <c r="II33">
        <v>16.056999999999999</v>
      </c>
      <c r="IJ33">
        <v>15.585000000000001</v>
      </c>
      <c r="IK33">
        <v>15.263999999999999</v>
      </c>
      <c r="IL33">
        <v>15.441000000000001</v>
      </c>
      <c r="IM33">
        <v>16.533999999999999</v>
      </c>
      <c r="IN33">
        <v>15.983000000000001</v>
      </c>
      <c r="IO33">
        <v>15.49</v>
      </c>
      <c r="IP33">
        <v>12.840999999999999</v>
      </c>
      <c r="IQ33">
        <v>16.016999999999999</v>
      </c>
      <c r="IR33">
        <v>16.402999999999999</v>
      </c>
      <c r="IS33">
        <v>16.065999999999999</v>
      </c>
      <c r="IT33">
        <v>15.66</v>
      </c>
      <c r="IU33">
        <v>16.192</v>
      </c>
      <c r="IV33">
        <v>15.968</v>
      </c>
      <c r="IW33">
        <v>14.813000000000001</v>
      </c>
      <c r="IX33">
        <v>13.326000000000001</v>
      </c>
      <c r="IY33">
        <v>16.007000000000001</v>
      </c>
      <c r="IZ33">
        <v>15.929</v>
      </c>
      <c r="JA33">
        <v>15.721</v>
      </c>
      <c r="JB33">
        <v>15.471</v>
      </c>
      <c r="JC33">
        <v>16.093</v>
      </c>
      <c r="JD33">
        <v>15.353999999999999</v>
      </c>
      <c r="JE33">
        <v>14.298</v>
      </c>
      <c r="JF33">
        <v>15.701000000000001</v>
      </c>
      <c r="JG33">
        <v>16.619</v>
      </c>
      <c r="JH33">
        <v>15.478999999999999</v>
      </c>
      <c r="JI33">
        <v>12.384</v>
      </c>
      <c r="JJ33">
        <v>15.88</v>
      </c>
      <c r="JK33">
        <v>13.013999999999999</v>
      </c>
      <c r="JL33">
        <v>16.21</v>
      </c>
      <c r="JM33">
        <v>15.558999999999999</v>
      </c>
      <c r="JN33">
        <v>15.654999999999999</v>
      </c>
      <c r="JO33">
        <v>15.923</v>
      </c>
      <c r="JP33">
        <v>13.394</v>
      </c>
      <c r="JQ33">
        <v>15.654</v>
      </c>
      <c r="JR33">
        <v>15.842000000000001</v>
      </c>
      <c r="JS33">
        <v>16.093</v>
      </c>
      <c r="JT33">
        <v>15.675000000000001</v>
      </c>
      <c r="JU33">
        <v>15.866</v>
      </c>
      <c r="JV33">
        <v>15.317</v>
      </c>
      <c r="JW33">
        <v>15.965999999999999</v>
      </c>
      <c r="JX33">
        <v>15.862</v>
      </c>
      <c r="JY33">
        <v>16.768999999999998</v>
      </c>
      <c r="JZ33">
        <v>16.155999999999999</v>
      </c>
      <c r="KA33">
        <v>11.209</v>
      </c>
      <c r="KB33">
        <v>15.561</v>
      </c>
      <c r="KC33">
        <v>15.49</v>
      </c>
      <c r="KD33">
        <v>16.047000000000001</v>
      </c>
      <c r="KE33">
        <v>13.698</v>
      </c>
      <c r="KF33">
        <v>12.709</v>
      </c>
      <c r="KG33">
        <v>15.193</v>
      </c>
      <c r="KH33">
        <v>14.846</v>
      </c>
      <c r="KI33">
        <v>14.545</v>
      </c>
      <c r="KJ33">
        <v>15.87</v>
      </c>
      <c r="KK33">
        <v>16.335000000000001</v>
      </c>
      <c r="KL33">
        <v>13.356999999999999</v>
      </c>
      <c r="KM33">
        <v>12.792</v>
      </c>
      <c r="KN33">
        <v>15.792999999999999</v>
      </c>
      <c r="KO33">
        <v>14.888</v>
      </c>
      <c r="KP33">
        <v>14.500999999999999</v>
      </c>
      <c r="KQ33">
        <v>12.656000000000001</v>
      </c>
      <c r="KR33">
        <v>12.959</v>
      </c>
    </row>
    <row r="34" spans="1:304" x14ac:dyDescent="0.25">
      <c r="A34">
        <v>2016</v>
      </c>
      <c r="B34">
        <v>7</v>
      </c>
      <c r="C34">
        <v>12.547000000000001</v>
      </c>
      <c r="D34">
        <v>18.045999999999999</v>
      </c>
      <c r="E34">
        <v>16.661999999999999</v>
      </c>
      <c r="F34">
        <v>16.238</v>
      </c>
      <c r="G34">
        <v>16.356000000000002</v>
      </c>
      <c r="H34">
        <v>15.368</v>
      </c>
      <c r="I34">
        <v>16.405000000000001</v>
      </c>
      <c r="J34">
        <v>14.497999999999999</v>
      </c>
      <c r="K34">
        <v>14.853999999999999</v>
      </c>
      <c r="L34">
        <v>16.556000000000001</v>
      </c>
      <c r="M34">
        <v>17.193000000000001</v>
      </c>
      <c r="N34">
        <v>16.738</v>
      </c>
      <c r="O34">
        <v>17.241</v>
      </c>
      <c r="P34">
        <v>16.72</v>
      </c>
      <c r="Q34">
        <v>16.196000000000002</v>
      </c>
      <c r="R34">
        <v>17.155999999999999</v>
      </c>
      <c r="S34">
        <v>16.747</v>
      </c>
      <c r="T34">
        <v>16.643000000000001</v>
      </c>
      <c r="U34">
        <v>15.835000000000001</v>
      </c>
      <c r="V34">
        <v>16.056000000000001</v>
      </c>
      <c r="W34">
        <v>18.222999999999999</v>
      </c>
      <c r="X34">
        <v>17.84</v>
      </c>
      <c r="Y34">
        <v>14.654999999999999</v>
      </c>
      <c r="Z34">
        <v>16.321000000000002</v>
      </c>
      <c r="AA34">
        <v>16.603000000000002</v>
      </c>
      <c r="AB34">
        <v>17.675000000000001</v>
      </c>
      <c r="AC34">
        <v>17.058</v>
      </c>
      <c r="AD34">
        <v>15.144</v>
      </c>
      <c r="AE34">
        <v>17.829999999999998</v>
      </c>
      <c r="AF34">
        <v>16.36</v>
      </c>
      <c r="AG34">
        <v>18.536999999999999</v>
      </c>
      <c r="AH34">
        <v>16.873000000000001</v>
      </c>
      <c r="AI34">
        <v>16.591000000000001</v>
      </c>
      <c r="AJ34">
        <v>15.694000000000001</v>
      </c>
      <c r="AK34">
        <v>16.300999999999998</v>
      </c>
      <c r="AL34">
        <v>16.315999999999999</v>
      </c>
      <c r="AM34">
        <v>16.748000000000001</v>
      </c>
      <c r="AN34">
        <v>17.571000000000002</v>
      </c>
      <c r="AO34">
        <v>17.846</v>
      </c>
      <c r="AP34">
        <v>17.312000000000001</v>
      </c>
      <c r="AQ34">
        <v>16.431999999999999</v>
      </c>
      <c r="AR34">
        <v>16.600999999999999</v>
      </c>
      <c r="AS34">
        <v>17.068000000000001</v>
      </c>
      <c r="AT34">
        <v>15.936999999999999</v>
      </c>
      <c r="AU34">
        <v>16.321999999999999</v>
      </c>
      <c r="AV34">
        <v>16.173999999999999</v>
      </c>
      <c r="AW34">
        <v>17.158000000000001</v>
      </c>
      <c r="AX34">
        <v>17.701000000000001</v>
      </c>
      <c r="AY34">
        <v>14.01</v>
      </c>
      <c r="AZ34">
        <v>16.997</v>
      </c>
      <c r="BA34">
        <v>17.751000000000001</v>
      </c>
      <c r="BB34">
        <v>17.396000000000001</v>
      </c>
      <c r="BC34">
        <v>14.567</v>
      </c>
      <c r="BD34">
        <v>17.151</v>
      </c>
      <c r="BE34">
        <v>16.036999999999999</v>
      </c>
      <c r="BF34">
        <v>17.18</v>
      </c>
      <c r="BG34">
        <v>14.977</v>
      </c>
      <c r="BH34">
        <v>15.914999999999999</v>
      </c>
      <c r="BI34">
        <v>14.747999999999999</v>
      </c>
      <c r="BJ34">
        <v>17.541</v>
      </c>
      <c r="BK34">
        <v>15.988</v>
      </c>
      <c r="BL34">
        <v>16.969000000000001</v>
      </c>
      <c r="BM34">
        <v>16.699000000000002</v>
      </c>
      <c r="BN34">
        <v>16.353999999999999</v>
      </c>
      <c r="BO34">
        <v>18.13</v>
      </c>
      <c r="BP34">
        <v>16.14</v>
      </c>
      <c r="BQ34">
        <v>17.036000000000001</v>
      </c>
      <c r="BR34">
        <v>16.132999999999999</v>
      </c>
      <c r="BS34">
        <v>17.417999999999999</v>
      </c>
      <c r="BT34">
        <v>16.873000000000001</v>
      </c>
      <c r="BU34">
        <v>16.847000000000001</v>
      </c>
      <c r="BV34">
        <v>16.835999999999999</v>
      </c>
      <c r="BW34">
        <v>16.559000000000001</v>
      </c>
      <c r="BX34">
        <v>16.579999999999998</v>
      </c>
      <c r="BY34">
        <v>13.09</v>
      </c>
      <c r="BZ34">
        <v>17.478000000000002</v>
      </c>
      <c r="CA34">
        <v>12.381</v>
      </c>
      <c r="CB34">
        <v>16.331</v>
      </c>
      <c r="CC34">
        <v>16.815000000000001</v>
      </c>
      <c r="CD34">
        <v>16.902999999999999</v>
      </c>
      <c r="CE34">
        <v>17.018000000000001</v>
      </c>
      <c r="CF34">
        <v>17.986999999999998</v>
      </c>
      <c r="CG34">
        <v>17.279</v>
      </c>
      <c r="CH34">
        <v>16.994</v>
      </c>
      <c r="CI34">
        <v>15.266</v>
      </c>
      <c r="CJ34">
        <v>17.431999999999999</v>
      </c>
      <c r="CK34">
        <v>17.225999999999999</v>
      </c>
      <c r="CL34">
        <v>16.736999999999998</v>
      </c>
      <c r="CM34">
        <v>16.677</v>
      </c>
      <c r="CN34">
        <v>17.652999999999999</v>
      </c>
      <c r="CO34">
        <v>17.369</v>
      </c>
      <c r="CP34">
        <v>16.238</v>
      </c>
      <c r="CQ34">
        <v>15.996</v>
      </c>
      <c r="CR34">
        <v>17.36</v>
      </c>
      <c r="CS34">
        <v>18.623000000000001</v>
      </c>
      <c r="CT34">
        <v>16.407</v>
      </c>
      <c r="CU34">
        <v>15.865</v>
      </c>
      <c r="CV34">
        <v>17.457000000000001</v>
      </c>
      <c r="CW34">
        <v>17.745000000000001</v>
      </c>
      <c r="CX34">
        <v>14.666</v>
      </c>
      <c r="CY34">
        <v>16.888999999999999</v>
      </c>
      <c r="CZ34">
        <v>16.864999999999998</v>
      </c>
      <c r="DA34">
        <v>16.631</v>
      </c>
      <c r="DB34">
        <v>17.434000000000001</v>
      </c>
      <c r="DC34">
        <v>17.536000000000001</v>
      </c>
      <c r="DD34">
        <v>17.64</v>
      </c>
      <c r="DE34">
        <v>16.905999999999999</v>
      </c>
      <c r="DF34">
        <v>16.315999999999999</v>
      </c>
      <c r="DG34">
        <v>14.122999999999999</v>
      </c>
      <c r="DH34">
        <v>17.148</v>
      </c>
      <c r="DI34">
        <v>17.873000000000001</v>
      </c>
      <c r="DJ34">
        <v>17.622</v>
      </c>
      <c r="DK34">
        <v>16.116</v>
      </c>
      <c r="DL34">
        <v>16.841999999999999</v>
      </c>
      <c r="DM34">
        <v>17.21</v>
      </c>
      <c r="DN34">
        <v>17.079999999999998</v>
      </c>
      <c r="DO34">
        <v>16.783000000000001</v>
      </c>
      <c r="DP34">
        <v>17.036000000000001</v>
      </c>
      <c r="DQ34">
        <v>17.032</v>
      </c>
      <c r="DR34">
        <v>17.067</v>
      </c>
      <c r="DS34">
        <v>16.736000000000001</v>
      </c>
      <c r="DT34">
        <v>17.901</v>
      </c>
      <c r="DU34">
        <v>13.723000000000001</v>
      </c>
      <c r="DV34">
        <v>17.690999999999999</v>
      </c>
      <c r="DW34">
        <v>16.943000000000001</v>
      </c>
      <c r="DX34">
        <v>16.872</v>
      </c>
      <c r="DY34">
        <v>15.997999999999999</v>
      </c>
      <c r="DZ34">
        <v>16.358000000000001</v>
      </c>
      <c r="EA34">
        <v>16.524000000000001</v>
      </c>
      <c r="EB34">
        <v>18.449000000000002</v>
      </c>
      <c r="EC34">
        <v>17.105</v>
      </c>
      <c r="ED34">
        <v>16.556000000000001</v>
      </c>
      <c r="EE34">
        <v>16.963999999999999</v>
      </c>
      <c r="EF34">
        <v>17.806999999999999</v>
      </c>
      <c r="EG34">
        <v>16.346</v>
      </c>
      <c r="EH34">
        <v>16.358000000000001</v>
      </c>
      <c r="EI34">
        <v>17.84</v>
      </c>
      <c r="EJ34">
        <v>16.128</v>
      </c>
      <c r="EK34">
        <v>16.925999999999998</v>
      </c>
      <c r="EL34">
        <v>17.666</v>
      </c>
      <c r="EM34">
        <v>16.015999999999998</v>
      </c>
      <c r="EN34">
        <v>15.185</v>
      </c>
      <c r="EO34">
        <v>17.13</v>
      </c>
      <c r="EP34">
        <v>17.858000000000001</v>
      </c>
      <c r="EQ34">
        <v>16.956</v>
      </c>
      <c r="ER34">
        <v>14.691000000000001</v>
      </c>
      <c r="ES34">
        <v>17.225000000000001</v>
      </c>
      <c r="ET34">
        <v>17.571000000000002</v>
      </c>
      <c r="EU34">
        <v>16.959</v>
      </c>
      <c r="EV34">
        <v>18.132999999999999</v>
      </c>
      <c r="EW34">
        <v>17.728000000000002</v>
      </c>
      <c r="EX34">
        <v>17.41</v>
      </c>
      <c r="EY34">
        <v>15.791</v>
      </c>
      <c r="EZ34">
        <v>16.425999999999998</v>
      </c>
      <c r="FA34">
        <v>17.443000000000001</v>
      </c>
      <c r="FB34">
        <v>17.05</v>
      </c>
      <c r="FC34">
        <v>15.936</v>
      </c>
      <c r="FD34">
        <v>16.684999999999999</v>
      </c>
      <c r="FE34">
        <v>18.446000000000002</v>
      </c>
      <c r="FF34">
        <v>15.922000000000001</v>
      </c>
      <c r="FG34">
        <v>16.684000000000001</v>
      </c>
      <c r="FH34">
        <v>16.253</v>
      </c>
      <c r="FI34">
        <v>16.78</v>
      </c>
      <c r="FJ34">
        <v>17.027999999999999</v>
      </c>
      <c r="FK34">
        <v>17.821999999999999</v>
      </c>
      <c r="FL34">
        <v>17.422999999999998</v>
      </c>
      <c r="FM34">
        <v>17.257999999999999</v>
      </c>
      <c r="FN34">
        <v>15.335000000000001</v>
      </c>
      <c r="FO34">
        <v>17.655999999999999</v>
      </c>
      <c r="FP34">
        <v>16.225000000000001</v>
      </c>
      <c r="FQ34">
        <v>17.736999999999998</v>
      </c>
      <c r="FR34">
        <v>16.613</v>
      </c>
      <c r="FS34">
        <v>15.611000000000001</v>
      </c>
      <c r="FT34">
        <v>17.016999999999999</v>
      </c>
      <c r="FU34">
        <v>16.376000000000001</v>
      </c>
      <c r="FV34">
        <v>18.007000000000001</v>
      </c>
      <c r="FW34">
        <v>17.707999999999998</v>
      </c>
      <c r="FX34">
        <v>16.219000000000001</v>
      </c>
      <c r="FY34">
        <v>16.774999999999999</v>
      </c>
      <c r="FZ34">
        <v>16.404</v>
      </c>
      <c r="GA34">
        <v>15.967000000000001</v>
      </c>
      <c r="GB34">
        <v>12.36</v>
      </c>
      <c r="GC34">
        <v>16.963999999999999</v>
      </c>
      <c r="GD34">
        <v>16.411999999999999</v>
      </c>
      <c r="GE34">
        <v>17.062999999999999</v>
      </c>
      <c r="GF34">
        <v>16.706</v>
      </c>
      <c r="GG34">
        <v>13.566000000000001</v>
      </c>
      <c r="GH34">
        <v>15.867000000000001</v>
      </c>
      <c r="GI34">
        <v>18.141999999999999</v>
      </c>
      <c r="GJ34">
        <v>17.233000000000001</v>
      </c>
      <c r="GK34">
        <v>17.189</v>
      </c>
      <c r="GL34">
        <v>16.623999999999999</v>
      </c>
      <c r="GM34">
        <v>16.925000000000001</v>
      </c>
      <c r="GN34">
        <v>16.494</v>
      </c>
      <c r="GO34">
        <v>17.114000000000001</v>
      </c>
      <c r="GP34">
        <v>16.73</v>
      </c>
      <c r="GQ34">
        <v>17.309000000000001</v>
      </c>
      <c r="GR34">
        <v>17.896999999999998</v>
      </c>
      <c r="GS34">
        <v>15.957000000000001</v>
      </c>
      <c r="GT34">
        <v>18.535</v>
      </c>
      <c r="GU34">
        <v>17.045000000000002</v>
      </c>
      <c r="GV34">
        <v>15.259</v>
      </c>
      <c r="GW34">
        <v>16.821000000000002</v>
      </c>
      <c r="GX34">
        <v>17.588999999999999</v>
      </c>
      <c r="GY34">
        <v>18.693999999999999</v>
      </c>
      <c r="GZ34">
        <v>16.811</v>
      </c>
      <c r="HA34">
        <v>18.471</v>
      </c>
      <c r="HB34">
        <v>16.474</v>
      </c>
      <c r="HC34">
        <v>11.816000000000001</v>
      </c>
      <c r="HD34">
        <v>14.776999999999999</v>
      </c>
      <c r="HE34">
        <v>17.678000000000001</v>
      </c>
      <c r="HF34">
        <v>17.184999999999999</v>
      </c>
      <c r="HG34">
        <v>14.717000000000001</v>
      </c>
      <c r="HH34">
        <v>18.667999999999999</v>
      </c>
      <c r="HI34">
        <v>17.050999999999998</v>
      </c>
      <c r="HJ34">
        <v>16.224</v>
      </c>
      <c r="HK34">
        <v>17.196000000000002</v>
      </c>
      <c r="HL34">
        <v>17.271000000000001</v>
      </c>
      <c r="HM34">
        <v>17.437999999999999</v>
      </c>
      <c r="HN34">
        <v>13.811999999999999</v>
      </c>
      <c r="HO34">
        <v>15.907999999999999</v>
      </c>
      <c r="HP34">
        <v>13.776999999999999</v>
      </c>
      <c r="HQ34">
        <v>17.016999999999999</v>
      </c>
      <c r="HR34">
        <v>18.111999999999998</v>
      </c>
      <c r="HS34">
        <v>17.04</v>
      </c>
      <c r="HT34">
        <v>16.899999999999999</v>
      </c>
      <c r="HU34">
        <v>16.369</v>
      </c>
      <c r="HV34">
        <v>16.353999999999999</v>
      </c>
      <c r="HW34">
        <v>17.309999999999999</v>
      </c>
      <c r="HX34">
        <v>18</v>
      </c>
      <c r="HY34">
        <v>18.661000000000001</v>
      </c>
      <c r="HZ34">
        <v>12.135</v>
      </c>
      <c r="IA34">
        <v>17.045000000000002</v>
      </c>
      <c r="IB34">
        <v>16.850999999999999</v>
      </c>
      <c r="IC34">
        <v>16.350000000000001</v>
      </c>
      <c r="ID34">
        <v>17.239000000000001</v>
      </c>
      <c r="IE34">
        <v>16.786000000000001</v>
      </c>
      <c r="IF34">
        <v>16.463000000000001</v>
      </c>
      <c r="IG34">
        <v>16.852</v>
      </c>
      <c r="IH34">
        <v>17.529</v>
      </c>
      <c r="II34">
        <v>17.146999999999998</v>
      </c>
      <c r="IJ34">
        <v>16.981000000000002</v>
      </c>
      <c r="IK34">
        <v>16.257000000000001</v>
      </c>
      <c r="IL34">
        <v>15.840999999999999</v>
      </c>
      <c r="IM34">
        <v>17.55</v>
      </c>
      <c r="IN34">
        <v>16.707999999999998</v>
      </c>
      <c r="IO34">
        <v>17.486000000000001</v>
      </c>
      <c r="IP34">
        <v>14.253</v>
      </c>
      <c r="IQ34">
        <v>18.39</v>
      </c>
      <c r="IR34">
        <v>16.844999999999999</v>
      </c>
      <c r="IS34">
        <v>17.077000000000002</v>
      </c>
      <c r="IT34">
        <v>18.045000000000002</v>
      </c>
      <c r="IU34">
        <v>16.864999999999998</v>
      </c>
      <c r="IV34">
        <v>16.231999999999999</v>
      </c>
      <c r="IW34">
        <v>15.522</v>
      </c>
      <c r="IX34">
        <v>16.922000000000001</v>
      </c>
      <c r="IY34">
        <v>18.256</v>
      </c>
      <c r="IZ34">
        <v>18.238</v>
      </c>
      <c r="JA34">
        <v>17.317</v>
      </c>
      <c r="JB34">
        <v>16.093</v>
      </c>
      <c r="JC34">
        <v>18.030999999999999</v>
      </c>
      <c r="JD34">
        <v>17.579999999999998</v>
      </c>
      <c r="JE34">
        <v>15.505000000000001</v>
      </c>
      <c r="JF34">
        <v>16.603999999999999</v>
      </c>
      <c r="JG34">
        <v>17.141999999999999</v>
      </c>
      <c r="JH34">
        <v>16.576000000000001</v>
      </c>
      <c r="JI34">
        <v>14.949</v>
      </c>
      <c r="JJ34">
        <v>17.196000000000002</v>
      </c>
      <c r="JK34">
        <v>15.946999999999999</v>
      </c>
      <c r="JL34">
        <v>17.706</v>
      </c>
      <c r="JM34">
        <v>17.800999999999998</v>
      </c>
      <c r="JN34">
        <v>16.254000000000001</v>
      </c>
      <c r="JO34">
        <v>16.841999999999999</v>
      </c>
      <c r="JP34">
        <v>16.72</v>
      </c>
      <c r="JQ34">
        <v>18.119</v>
      </c>
      <c r="JR34">
        <v>16.303000000000001</v>
      </c>
      <c r="JS34">
        <v>18.079999999999998</v>
      </c>
      <c r="JT34">
        <v>17.713999999999999</v>
      </c>
      <c r="JU34">
        <v>16.442</v>
      </c>
      <c r="JV34">
        <v>16.7</v>
      </c>
      <c r="JW34">
        <v>16.98</v>
      </c>
      <c r="JX34">
        <v>17.071999999999999</v>
      </c>
      <c r="JY34">
        <v>17.177</v>
      </c>
      <c r="JZ34">
        <v>17.751000000000001</v>
      </c>
      <c r="KA34">
        <v>12.994</v>
      </c>
      <c r="KB34">
        <v>16.579000000000001</v>
      </c>
      <c r="KC34">
        <v>16.905000000000001</v>
      </c>
      <c r="KD34">
        <v>16.361000000000001</v>
      </c>
      <c r="KE34">
        <v>14.755000000000001</v>
      </c>
      <c r="KF34">
        <v>16.09</v>
      </c>
      <c r="KG34">
        <v>16.376000000000001</v>
      </c>
      <c r="KH34">
        <v>17.085999999999999</v>
      </c>
      <c r="KI34">
        <v>16.431999999999999</v>
      </c>
      <c r="KJ34">
        <v>17.196999999999999</v>
      </c>
      <c r="KK34">
        <v>16.471</v>
      </c>
      <c r="KL34">
        <v>16.8</v>
      </c>
      <c r="KM34">
        <v>14.444000000000001</v>
      </c>
      <c r="KN34">
        <v>18.234999999999999</v>
      </c>
      <c r="KO34">
        <v>17.224</v>
      </c>
      <c r="KP34">
        <v>15.497999999999999</v>
      </c>
      <c r="KQ34">
        <v>16.86</v>
      </c>
      <c r="KR34">
        <v>17.335999999999999</v>
      </c>
    </row>
    <row r="35" spans="1:304" x14ac:dyDescent="0.25">
      <c r="A35">
        <v>2016</v>
      </c>
      <c r="B35">
        <v>8</v>
      </c>
      <c r="C35">
        <v>9.2949999999999999</v>
      </c>
      <c r="D35">
        <v>16.463999999999999</v>
      </c>
      <c r="E35">
        <v>15.215999999999999</v>
      </c>
      <c r="F35">
        <v>14.68</v>
      </c>
      <c r="G35">
        <v>14.641999999999999</v>
      </c>
      <c r="H35">
        <v>12.526</v>
      </c>
      <c r="I35">
        <v>14.337999999999999</v>
      </c>
      <c r="J35">
        <v>10.699</v>
      </c>
      <c r="K35">
        <v>10.885</v>
      </c>
      <c r="L35">
        <v>14.756</v>
      </c>
      <c r="M35">
        <v>16.233000000000001</v>
      </c>
      <c r="N35">
        <v>14.5</v>
      </c>
      <c r="O35">
        <v>16.311</v>
      </c>
      <c r="P35">
        <v>14.686999999999999</v>
      </c>
      <c r="Q35">
        <v>12.202999999999999</v>
      </c>
      <c r="R35">
        <v>16.186</v>
      </c>
      <c r="S35">
        <v>12.851000000000001</v>
      </c>
      <c r="T35">
        <v>14.266999999999999</v>
      </c>
      <c r="U35">
        <v>14.076000000000001</v>
      </c>
      <c r="V35">
        <v>14.46</v>
      </c>
      <c r="W35">
        <v>16.742999999999999</v>
      </c>
      <c r="X35">
        <v>16.158999999999999</v>
      </c>
      <c r="Y35">
        <v>12.083</v>
      </c>
      <c r="Z35">
        <v>14.101000000000001</v>
      </c>
      <c r="AA35">
        <v>15.429</v>
      </c>
      <c r="AB35">
        <v>15.577999999999999</v>
      </c>
      <c r="AC35">
        <v>15.93</v>
      </c>
      <c r="AD35">
        <v>11.961</v>
      </c>
      <c r="AE35">
        <v>17.065000000000001</v>
      </c>
      <c r="AF35">
        <v>14.211</v>
      </c>
      <c r="AG35">
        <v>16.637</v>
      </c>
      <c r="AH35">
        <v>14.65</v>
      </c>
      <c r="AI35">
        <v>13.792</v>
      </c>
      <c r="AJ35">
        <v>13.513999999999999</v>
      </c>
      <c r="AK35">
        <v>14.436999999999999</v>
      </c>
      <c r="AL35">
        <v>14.314</v>
      </c>
      <c r="AM35">
        <v>15</v>
      </c>
      <c r="AN35">
        <v>15.978</v>
      </c>
      <c r="AO35">
        <v>15.945</v>
      </c>
      <c r="AP35">
        <v>16.423999999999999</v>
      </c>
      <c r="AQ35">
        <v>14.673</v>
      </c>
      <c r="AR35">
        <v>14.504</v>
      </c>
      <c r="AS35">
        <v>16.146999999999998</v>
      </c>
      <c r="AT35">
        <v>14.196</v>
      </c>
      <c r="AU35">
        <v>14.497999999999999</v>
      </c>
      <c r="AV35">
        <v>14.1</v>
      </c>
      <c r="AW35">
        <v>15.14</v>
      </c>
      <c r="AX35">
        <v>15.547000000000001</v>
      </c>
      <c r="AY35">
        <v>11.24</v>
      </c>
      <c r="AZ35">
        <v>14.747</v>
      </c>
      <c r="BA35">
        <v>17.196000000000002</v>
      </c>
      <c r="BB35">
        <v>15.664</v>
      </c>
      <c r="BC35">
        <v>10.939</v>
      </c>
      <c r="BD35">
        <v>14.802</v>
      </c>
      <c r="BE35">
        <v>14.247999999999999</v>
      </c>
      <c r="BF35">
        <v>16.045999999999999</v>
      </c>
      <c r="BG35">
        <v>11.497</v>
      </c>
      <c r="BH35">
        <v>13.504</v>
      </c>
      <c r="BI35">
        <v>10.464</v>
      </c>
      <c r="BJ35">
        <v>15.802</v>
      </c>
      <c r="BK35">
        <v>14.135999999999999</v>
      </c>
      <c r="BL35">
        <v>15.1</v>
      </c>
      <c r="BM35">
        <v>14.938000000000001</v>
      </c>
      <c r="BN35">
        <v>14.622</v>
      </c>
      <c r="BO35">
        <v>16.291</v>
      </c>
      <c r="BP35">
        <v>13.882</v>
      </c>
      <c r="BQ35">
        <v>15.217000000000001</v>
      </c>
      <c r="BR35">
        <v>13.992000000000001</v>
      </c>
      <c r="BS35">
        <v>15.332000000000001</v>
      </c>
      <c r="BT35">
        <v>14.987</v>
      </c>
      <c r="BU35">
        <v>15.487</v>
      </c>
      <c r="BV35">
        <v>14.163</v>
      </c>
      <c r="BW35">
        <v>15.528</v>
      </c>
      <c r="BX35">
        <v>14.315</v>
      </c>
      <c r="BY35">
        <v>10.942</v>
      </c>
      <c r="BZ35">
        <v>16.57</v>
      </c>
      <c r="CA35">
        <v>9.2520000000000007</v>
      </c>
      <c r="CB35">
        <v>14.555</v>
      </c>
      <c r="CC35">
        <v>15.842000000000001</v>
      </c>
      <c r="CD35">
        <v>15.862</v>
      </c>
      <c r="CE35">
        <v>14.99</v>
      </c>
      <c r="CF35">
        <v>16.239999999999998</v>
      </c>
      <c r="CG35">
        <v>14.428000000000001</v>
      </c>
      <c r="CH35">
        <v>14.894</v>
      </c>
      <c r="CI35">
        <v>12.303000000000001</v>
      </c>
      <c r="CJ35">
        <v>15.813000000000001</v>
      </c>
      <c r="CK35">
        <v>13.426</v>
      </c>
      <c r="CL35">
        <v>15.073</v>
      </c>
      <c r="CM35">
        <v>14.178000000000001</v>
      </c>
      <c r="CN35">
        <v>15.856999999999999</v>
      </c>
      <c r="CO35">
        <v>16.509</v>
      </c>
      <c r="CP35">
        <v>14.63</v>
      </c>
      <c r="CQ35">
        <v>11.486000000000001</v>
      </c>
      <c r="CR35">
        <v>15.51</v>
      </c>
      <c r="CS35">
        <v>16.785</v>
      </c>
      <c r="CT35">
        <v>14.54</v>
      </c>
      <c r="CU35">
        <v>12.503</v>
      </c>
      <c r="CV35">
        <v>13.741</v>
      </c>
      <c r="CW35">
        <v>16.326000000000001</v>
      </c>
      <c r="CX35">
        <v>10.220000000000001</v>
      </c>
      <c r="CY35">
        <v>15.225</v>
      </c>
      <c r="CZ35">
        <v>15.601000000000001</v>
      </c>
      <c r="DA35">
        <v>14.401</v>
      </c>
      <c r="DB35">
        <v>16.37</v>
      </c>
      <c r="DC35">
        <v>15.567</v>
      </c>
      <c r="DD35">
        <v>16.831</v>
      </c>
      <c r="DE35">
        <v>14.675000000000001</v>
      </c>
      <c r="DF35">
        <v>14.73</v>
      </c>
      <c r="DG35">
        <v>9.8260000000000005</v>
      </c>
      <c r="DH35">
        <v>15.01</v>
      </c>
      <c r="DI35">
        <v>16.091000000000001</v>
      </c>
      <c r="DJ35">
        <v>15.593999999999999</v>
      </c>
      <c r="DK35">
        <v>13.804</v>
      </c>
      <c r="DL35">
        <v>13.526999999999999</v>
      </c>
      <c r="DM35">
        <v>16.198</v>
      </c>
      <c r="DN35">
        <v>15.355</v>
      </c>
      <c r="DO35">
        <v>15.427</v>
      </c>
      <c r="DP35">
        <v>14.976000000000001</v>
      </c>
      <c r="DQ35">
        <v>15.875</v>
      </c>
      <c r="DR35">
        <v>15.025</v>
      </c>
      <c r="DS35">
        <v>15.605</v>
      </c>
      <c r="DT35">
        <v>15.92</v>
      </c>
      <c r="DU35">
        <v>9.9160000000000004</v>
      </c>
      <c r="DV35">
        <v>16.866</v>
      </c>
      <c r="DW35">
        <v>14.874000000000001</v>
      </c>
      <c r="DX35">
        <v>15.022</v>
      </c>
      <c r="DY35">
        <v>13.63</v>
      </c>
      <c r="DZ35">
        <v>14.913</v>
      </c>
      <c r="EA35">
        <v>14.773</v>
      </c>
      <c r="EB35">
        <v>16.52</v>
      </c>
      <c r="EC35">
        <v>15.345000000000001</v>
      </c>
      <c r="ED35">
        <v>15.019</v>
      </c>
      <c r="EE35">
        <v>14.603</v>
      </c>
      <c r="EF35">
        <v>15.849</v>
      </c>
      <c r="EG35">
        <v>14.632</v>
      </c>
      <c r="EH35">
        <v>13.609</v>
      </c>
      <c r="EI35">
        <v>17.07</v>
      </c>
      <c r="EJ35">
        <v>13.965</v>
      </c>
      <c r="EK35">
        <v>13.734999999999999</v>
      </c>
      <c r="EL35">
        <v>16.86</v>
      </c>
      <c r="EM35">
        <v>11.997</v>
      </c>
      <c r="EN35">
        <v>11.313000000000001</v>
      </c>
      <c r="EO35">
        <v>14.984</v>
      </c>
      <c r="EP35">
        <v>17.126000000000001</v>
      </c>
      <c r="EQ35">
        <v>15.734</v>
      </c>
      <c r="ER35">
        <v>12.615</v>
      </c>
      <c r="ES35">
        <v>15.393000000000001</v>
      </c>
      <c r="ET35">
        <v>15.875</v>
      </c>
      <c r="EU35">
        <v>15.215999999999999</v>
      </c>
      <c r="EV35">
        <v>16.472999999999999</v>
      </c>
      <c r="EW35">
        <v>16.472000000000001</v>
      </c>
      <c r="EX35">
        <v>15.531000000000001</v>
      </c>
      <c r="EY35">
        <v>13.965999999999999</v>
      </c>
      <c r="EZ35">
        <v>15.034000000000001</v>
      </c>
      <c r="FA35">
        <v>15.561</v>
      </c>
      <c r="FB35">
        <v>15.789</v>
      </c>
      <c r="FC35">
        <v>13.981999999999999</v>
      </c>
      <c r="FD35">
        <v>14.925000000000001</v>
      </c>
      <c r="FE35">
        <v>16.513999999999999</v>
      </c>
      <c r="FF35">
        <v>14.058</v>
      </c>
      <c r="FG35">
        <v>14.496</v>
      </c>
      <c r="FH35">
        <v>14.077</v>
      </c>
      <c r="FI35">
        <v>13.81</v>
      </c>
      <c r="FJ35">
        <v>13.689</v>
      </c>
      <c r="FK35">
        <v>15.991</v>
      </c>
      <c r="FL35">
        <v>15.632</v>
      </c>
      <c r="FM35">
        <v>15.507</v>
      </c>
      <c r="FN35">
        <v>11.598000000000001</v>
      </c>
      <c r="FO35">
        <v>15.952999999999999</v>
      </c>
      <c r="FP35">
        <v>14.097</v>
      </c>
      <c r="FQ35">
        <v>16.027999999999999</v>
      </c>
      <c r="FR35">
        <v>15.321</v>
      </c>
      <c r="FS35">
        <v>13.714</v>
      </c>
      <c r="FT35">
        <v>15.523999999999999</v>
      </c>
      <c r="FU35">
        <v>15.071999999999999</v>
      </c>
      <c r="FV35">
        <v>16.216000000000001</v>
      </c>
      <c r="FW35">
        <v>15.657</v>
      </c>
      <c r="FX35">
        <v>11.62</v>
      </c>
      <c r="FY35">
        <v>15.384</v>
      </c>
      <c r="FZ35">
        <v>15.26</v>
      </c>
      <c r="GA35">
        <v>13.625999999999999</v>
      </c>
      <c r="GB35">
        <v>9.4740000000000002</v>
      </c>
      <c r="GC35">
        <v>13.096</v>
      </c>
      <c r="GD35">
        <v>12.978999999999999</v>
      </c>
      <c r="GE35">
        <v>14.920999999999999</v>
      </c>
      <c r="GF35">
        <v>14.9</v>
      </c>
      <c r="GG35">
        <v>11.393000000000001</v>
      </c>
      <c r="GH35">
        <v>14.006</v>
      </c>
      <c r="GI35">
        <v>16.263999999999999</v>
      </c>
      <c r="GJ35">
        <v>16.521999999999998</v>
      </c>
      <c r="GK35">
        <v>16.085999999999999</v>
      </c>
      <c r="GL35">
        <v>14.831</v>
      </c>
      <c r="GM35">
        <v>13.195</v>
      </c>
      <c r="GN35">
        <v>14.696999999999999</v>
      </c>
      <c r="GO35">
        <v>16.279</v>
      </c>
      <c r="GP35">
        <v>14.56</v>
      </c>
      <c r="GQ35">
        <v>14.769</v>
      </c>
      <c r="GR35">
        <v>16.187000000000001</v>
      </c>
      <c r="GS35">
        <v>12.59</v>
      </c>
      <c r="GT35">
        <v>16.681999999999999</v>
      </c>
      <c r="GU35">
        <v>15.91</v>
      </c>
      <c r="GV35">
        <v>11.101000000000001</v>
      </c>
      <c r="GW35">
        <v>15.827</v>
      </c>
      <c r="GX35">
        <v>16.797999999999998</v>
      </c>
      <c r="GY35">
        <v>16.827000000000002</v>
      </c>
      <c r="GZ35">
        <v>15.38</v>
      </c>
      <c r="HA35">
        <v>16.606000000000002</v>
      </c>
      <c r="HB35">
        <v>14.353</v>
      </c>
      <c r="HC35">
        <v>9.9160000000000004</v>
      </c>
      <c r="HD35">
        <v>11.131</v>
      </c>
      <c r="HE35">
        <v>15.978</v>
      </c>
      <c r="HF35">
        <v>15.769</v>
      </c>
      <c r="HG35">
        <v>11.709</v>
      </c>
      <c r="HH35">
        <v>16.803000000000001</v>
      </c>
      <c r="HI35">
        <v>14.21</v>
      </c>
      <c r="HJ35">
        <v>14.242000000000001</v>
      </c>
      <c r="HK35">
        <v>15.065</v>
      </c>
      <c r="HL35">
        <v>16.393999999999998</v>
      </c>
      <c r="HM35">
        <v>16.649000000000001</v>
      </c>
      <c r="HN35">
        <v>11.856999999999999</v>
      </c>
      <c r="HO35">
        <v>14.223000000000001</v>
      </c>
      <c r="HP35">
        <v>11.253</v>
      </c>
      <c r="HQ35">
        <v>15.798999999999999</v>
      </c>
      <c r="HR35">
        <v>16.384</v>
      </c>
      <c r="HS35">
        <v>14.824</v>
      </c>
      <c r="HT35">
        <v>15.192</v>
      </c>
      <c r="HU35">
        <v>14.224</v>
      </c>
      <c r="HV35">
        <v>14.196999999999999</v>
      </c>
      <c r="HW35">
        <v>14.77</v>
      </c>
      <c r="HX35">
        <v>16.257999999999999</v>
      </c>
      <c r="HY35">
        <v>16.777000000000001</v>
      </c>
      <c r="HZ35">
        <v>10.272</v>
      </c>
      <c r="IA35">
        <v>14.951000000000001</v>
      </c>
      <c r="IB35">
        <v>15.032999999999999</v>
      </c>
      <c r="IC35">
        <v>14.656000000000001</v>
      </c>
      <c r="ID35">
        <v>15.01</v>
      </c>
      <c r="IE35">
        <v>13.933999999999999</v>
      </c>
      <c r="IF35">
        <v>14.877000000000001</v>
      </c>
      <c r="IG35">
        <v>15.867000000000001</v>
      </c>
      <c r="IH35">
        <v>16.187999999999999</v>
      </c>
      <c r="II35">
        <v>15.209</v>
      </c>
      <c r="IJ35">
        <v>14.878</v>
      </c>
      <c r="IK35">
        <v>14.026999999999999</v>
      </c>
      <c r="IL35">
        <v>14.103999999999999</v>
      </c>
      <c r="IM35">
        <v>16.890999999999998</v>
      </c>
      <c r="IN35">
        <v>14.978999999999999</v>
      </c>
      <c r="IO35">
        <v>15.731999999999999</v>
      </c>
      <c r="IP35">
        <v>11.962</v>
      </c>
      <c r="IQ35">
        <v>16.521999999999998</v>
      </c>
      <c r="IR35">
        <v>15.313000000000001</v>
      </c>
      <c r="IS35">
        <v>16.103000000000002</v>
      </c>
      <c r="IT35">
        <v>16.155999999999999</v>
      </c>
      <c r="IU35">
        <v>15.179</v>
      </c>
      <c r="IV35">
        <v>14.805999999999999</v>
      </c>
      <c r="IW35">
        <v>13.723000000000001</v>
      </c>
      <c r="IX35">
        <v>13.407999999999999</v>
      </c>
      <c r="IY35">
        <v>16.434000000000001</v>
      </c>
      <c r="IZ35">
        <v>16.440999999999999</v>
      </c>
      <c r="JA35">
        <v>15.602</v>
      </c>
      <c r="JB35">
        <v>14.115</v>
      </c>
      <c r="JC35">
        <v>16.408000000000001</v>
      </c>
      <c r="JD35">
        <v>15.881</v>
      </c>
      <c r="JE35">
        <v>13.167999999999999</v>
      </c>
      <c r="JF35">
        <v>14.926</v>
      </c>
      <c r="JG35">
        <v>16.247</v>
      </c>
      <c r="JH35">
        <v>14.515000000000001</v>
      </c>
      <c r="JI35">
        <v>11.176</v>
      </c>
      <c r="JJ35">
        <v>15.364000000000001</v>
      </c>
      <c r="JK35">
        <v>12.159000000000001</v>
      </c>
      <c r="JL35">
        <v>15.63</v>
      </c>
      <c r="JM35">
        <v>16.515999999999998</v>
      </c>
      <c r="JN35">
        <v>14.519</v>
      </c>
      <c r="JO35">
        <v>15.032</v>
      </c>
      <c r="JP35">
        <v>12.724</v>
      </c>
      <c r="JQ35">
        <v>16.172000000000001</v>
      </c>
      <c r="JR35">
        <v>14.446</v>
      </c>
      <c r="JS35">
        <v>16.315999999999999</v>
      </c>
      <c r="JT35">
        <v>15.808</v>
      </c>
      <c r="JU35">
        <v>14.685</v>
      </c>
      <c r="JV35">
        <v>14.596</v>
      </c>
      <c r="JW35">
        <v>16.263000000000002</v>
      </c>
      <c r="JX35">
        <v>15.026999999999999</v>
      </c>
      <c r="JY35">
        <v>16.157</v>
      </c>
      <c r="JZ35">
        <v>15.702999999999999</v>
      </c>
      <c r="KA35">
        <v>10.839</v>
      </c>
      <c r="KB35">
        <v>14.58</v>
      </c>
      <c r="KC35">
        <v>14.901999999999999</v>
      </c>
      <c r="KD35">
        <v>14.816000000000001</v>
      </c>
      <c r="KE35">
        <v>12.757999999999999</v>
      </c>
      <c r="KF35">
        <v>12.23</v>
      </c>
      <c r="KG35">
        <v>14.369</v>
      </c>
      <c r="KH35">
        <v>15.308</v>
      </c>
      <c r="KI35">
        <v>14.256</v>
      </c>
      <c r="KJ35">
        <v>15.476000000000001</v>
      </c>
      <c r="KK35">
        <v>15.247</v>
      </c>
      <c r="KL35">
        <v>13.53</v>
      </c>
      <c r="KM35">
        <v>11.996</v>
      </c>
      <c r="KN35">
        <v>16.276</v>
      </c>
      <c r="KO35">
        <v>15.353999999999999</v>
      </c>
      <c r="KP35">
        <v>13.43</v>
      </c>
      <c r="KQ35">
        <v>12.507999999999999</v>
      </c>
      <c r="KR35">
        <v>12.446999999999999</v>
      </c>
    </row>
    <row r="36" spans="1:304" x14ac:dyDescent="0.25">
      <c r="A36">
        <v>2016</v>
      </c>
      <c r="B36">
        <v>9</v>
      </c>
      <c r="C36">
        <v>7.7919999999999998</v>
      </c>
      <c r="D36">
        <v>14.848000000000001</v>
      </c>
      <c r="E36">
        <v>14.968</v>
      </c>
      <c r="F36">
        <v>14.335000000000001</v>
      </c>
      <c r="G36">
        <v>13.651</v>
      </c>
      <c r="H36">
        <v>10.788</v>
      </c>
      <c r="I36">
        <v>13.762</v>
      </c>
      <c r="J36">
        <v>8.27</v>
      </c>
      <c r="K36">
        <v>8.6020000000000003</v>
      </c>
      <c r="L36">
        <v>13.840999999999999</v>
      </c>
      <c r="M36">
        <v>15.817</v>
      </c>
      <c r="N36">
        <v>12.955</v>
      </c>
      <c r="O36">
        <v>15.827</v>
      </c>
      <c r="P36">
        <v>14.138999999999999</v>
      </c>
      <c r="Q36">
        <v>9.8870000000000005</v>
      </c>
      <c r="R36">
        <v>15.717000000000001</v>
      </c>
      <c r="S36">
        <v>9.8930000000000007</v>
      </c>
      <c r="T36">
        <v>12.202999999999999</v>
      </c>
      <c r="U36">
        <v>13.779</v>
      </c>
      <c r="V36">
        <v>14.208</v>
      </c>
      <c r="W36">
        <v>15.606</v>
      </c>
      <c r="X36">
        <v>14.217000000000001</v>
      </c>
      <c r="Y36">
        <v>10.558</v>
      </c>
      <c r="Z36">
        <v>12.923</v>
      </c>
      <c r="AA36">
        <v>14.186999999999999</v>
      </c>
      <c r="AB36">
        <v>14.090999999999999</v>
      </c>
      <c r="AC36">
        <v>14.933999999999999</v>
      </c>
      <c r="AD36">
        <v>9.9619999999999997</v>
      </c>
      <c r="AE36">
        <v>16.376000000000001</v>
      </c>
      <c r="AF36">
        <v>13.519</v>
      </c>
      <c r="AG36">
        <v>14.757999999999999</v>
      </c>
      <c r="AH36">
        <v>13.742000000000001</v>
      </c>
      <c r="AI36">
        <v>11.943</v>
      </c>
      <c r="AJ36">
        <v>11.884</v>
      </c>
      <c r="AK36">
        <v>13.913</v>
      </c>
      <c r="AL36">
        <v>13.699</v>
      </c>
      <c r="AM36">
        <v>13.599</v>
      </c>
      <c r="AN36">
        <v>14.061</v>
      </c>
      <c r="AO36">
        <v>14.361000000000001</v>
      </c>
      <c r="AP36">
        <v>15.698</v>
      </c>
      <c r="AQ36">
        <v>14.393000000000001</v>
      </c>
      <c r="AR36">
        <v>13.084</v>
      </c>
      <c r="AS36">
        <v>15.818</v>
      </c>
      <c r="AT36">
        <v>13.949</v>
      </c>
      <c r="AU36">
        <v>14.12</v>
      </c>
      <c r="AV36">
        <v>13.353999999999999</v>
      </c>
      <c r="AW36">
        <v>12.818</v>
      </c>
      <c r="AX36">
        <v>14.242000000000001</v>
      </c>
      <c r="AY36">
        <v>9.8330000000000002</v>
      </c>
      <c r="AZ36">
        <v>14.154999999999999</v>
      </c>
      <c r="BA36">
        <v>16.908000000000001</v>
      </c>
      <c r="BB36">
        <v>13.987</v>
      </c>
      <c r="BC36">
        <v>9.1440000000000001</v>
      </c>
      <c r="BD36">
        <v>13.004</v>
      </c>
      <c r="BE36">
        <v>13.76</v>
      </c>
      <c r="BF36">
        <v>16.001000000000001</v>
      </c>
      <c r="BG36">
        <v>9.6639999999999997</v>
      </c>
      <c r="BH36">
        <v>12.595000000000001</v>
      </c>
      <c r="BI36">
        <v>8.0410000000000004</v>
      </c>
      <c r="BJ36">
        <v>13.984999999999999</v>
      </c>
      <c r="BK36">
        <v>13.581</v>
      </c>
      <c r="BL36">
        <v>14.805</v>
      </c>
      <c r="BM36">
        <v>14.778</v>
      </c>
      <c r="BN36">
        <v>14.420999999999999</v>
      </c>
      <c r="BO36">
        <v>14.461</v>
      </c>
      <c r="BP36">
        <v>13.288</v>
      </c>
      <c r="BQ36">
        <v>14.118</v>
      </c>
      <c r="BR36">
        <v>13.128</v>
      </c>
      <c r="BS36">
        <v>13.795999999999999</v>
      </c>
      <c r="BT36">
        <v>14.483000000000001</v>
      </c>
      <c r="BU36">
        <v>15.436</v>
      </c>
      <c r="BV36">
        <v>11.949</v>
      </c>
      <c r="BW36">
        <v>14.417999999999999</v>
      </c>
      <c r="BX36">
        <v>12.856</v>
      </c>
      <c r="BY36">
        <v>10.141</v>
      </c>
      <c r="BZ36">
        <v>16.222999999999999</v>
      </c>
      <c r="CA36">
        <v>8.0860000000000003</v>
      </c>
      <c r="CB36">
        <v>14.247</v>
      </c>
      <c r="CC36">
        <v>15.048</v>
      </c>
      <c r="CD36">
        <v>15.157999999999999</v>
      </c>
      <c r="CE36">
        <v>14.544</v>
      </c>
      <c r="CF36">
        <v>14.318</v>
      </c>
      <c r="CG36">
        <v>12.678000000000001</v>
      </c>
      <c r="CH36">
        <v>14.249000000000001</v>
      </c>
      <c r="CI36">
        <v>10.629</v>
      </c>
      <c r="CJ36">
        <v>13.788</v>
      </c>
      <c r="CK36">
        <v>10.01</v>
      </c>
      <c r="CL36">
        <v>14.712</v>
      </c>
      <c r="CM36">
        <v>12.823</v>
      </c>
      <c r="CN36">
        <v>14.231</v>
      </c>
      <c r="CO36">
        <v>16.274999999999999</v>
      </c>
      <c r="CP36">
        <v>13.879</v>
      </c>
      <c r="CQ36">
        <v>8.92</v>
      </c>
      <c r="CR36">
        <v>14.042</v>
      </c>
      <c r="CS36">
        <v>15.035</v>
      </c>
      <c r="CT36">
        <v>14.038</v>
      </c>
      <c r="CU36">
        <v>10.436</v>
      </c>
      <c r="CV36">
        <v>9.8800000000000008</v>
      </c>
      <c r="CW36">
        <v>14.978999999999999</v>
      </c>
      <c r="CX36">
        <v>8.2780000000000005</v>
      </c>
      <c r="CY36">
        <v>14.864000000000001</v>
      </c>
      <c r="CZ36">
        <v>14.61</v>
      </c>
      <c r="DA36">
        <v>13.49</v>
      </c>
      <c r="DB36">
        <v>15.457000000000001</v>
      </c>
      <c r="DC36">
        <v>14.013999999999999</v>
      </c>
      <c r="DD36">
        <v>16.163</v>
      </c>
      <c r="DE36">
        <v>14.051</v>
      </c>
      <c r="DF36">
        <v>14.465</v>
      </c>
      <c r="DG36">
        <v>8.125</v>
      </c>
      <c r="DH36">
        <v>13.754</v>
      </c>
      <c r="DI36">
        <v>14.037000000000001</v>
      </c>
      <c r="DJ36">
        <v>14.122</v>
      </c>
      <c r="DK36">
        <v>12.817</v>
      </c>
      <c r="DL36">
        <v>11.352</v>
      </c>
      <c r="DM36">
        <v>14.955</v>
      </c>
      <c r="DN36">
        <v>14.198</v>
      </c>
      <c r="DO36">
        <v>15.244</v>
      </c>
      <c r="DP36">
        <v>14.241</v>
      </c>
      <c r="DQ36">
        <v>15.823</v>
      </c>
      <c r="DR36">
        <v>14.492000000000001</v>
      </c>
      <c r="DS36">
        <v>14.891</v>
      </c>
      <c r="DT36">
        <v>14.532</v>
      </c>
      <c r="DU36">
        <v>7.6890000000000001</v>
      </c>
      <c r="DV36">
        <v>16.452000000000002</v>
      </c>
      <c r="DW36">
        <v>14.175000000000001</v>
      </c>
      <c r="DX36">
        <v>13.988</v>
      </c>
      <c r="DY36">
        <v>12.692</v>
      </c>
      <c r="DZ36">
        <v>14.78</v>
      </c>
      <c r="EA36">
        <v>13.534000000000001</v>
      </c>
      <c r="EB36">
        <v>14.614000000000001</v>
      </c>
      <c r="EC36">
        <v>15.122999999999999</v>
      </c>
      <c r="ED36">
        <v>14.696</v>
      </c>
      <c r="EE36">
        <v>13.35</v>
      </c>
      <c r="EF36">
        <v>14.851000000000001</v>
      </c>
      <c r="EG36">
        <v>13.414999999999999</v>
      </c>
      <c r="EH36">
        <v>11.926</v>
      </c>
      <c r="EI36">
        <v>16.395</v>
      </c>
      <c r="EJ36">
        <v>13.097</v>
      </c>
      <c r="EK36">
        <v>10.56</v>
      </c>
      <c r="EL36">
        <v>16.151</v>
      </c>
      <c r="EM36">
        <v>9.6159999999999997</v>
      </c>
      <c r="EN36">
        <v>8.9250000000000007</v>
      </c>
      <c r="EO36">
        <v>14.247</v>
      </c>
      <c r="EP36">
        <v>16.483000000000001</v>
      </c>
      <c r="EQ36">
        <v>15.534000000000001</v>
      </c>
      <c r="ER36">
        <v>12.122999999999999</v>
      </c>
      <c r="ES36">
        <v>15.047000000000001</v>
      </c>
      <c r="ET36">
        <v>13.846</v>
      </c>
      <c r="EU36">
        <v>14.788</v>
      </c>
      <c r="EV36">
        <v>14.968999999999999</v>
      </c>
      <c r="EW36">
        <v>15.214</v>
      </c>
      <c r="EX36">
        <v>14.805</v>
      </c>
      <c r="EY36">
        <v>13.683999999999999</v>
      </c>
      <c r="EZ36">
        <v>13.864000000000001</v>
      </c>
      <c r="FA36">
        <v>14.859</v>
      </c>
      <c r="FB36">
        <v>15.741</v>
      </c>
      <c r="FC36">
        <v>12.956</v>
      </c>
      <c r="FD36">
        <v>14.536</v>
      </c>
      <c r="FE36">
        <v>14.646000000000001</v>
      </c>
      <c r="FF36">
        <v>13.606</v>
      </c>
      <c r="FG36">
        <v>13.423999999999999</v>
      </c>
      <c r="FH36">
        <v>12.858000000000001</v>
      </c>
      <c r="FI36">
        <v>11.993</v>
      </c>
      <c r="FJ36">
        <v>10.961</v>
      </c>
      <c r="FK36">
        <v>14.523</v>
      </c>
      <c r="FL36">
        <v>13.236000000000001</v>
      </c>
      <c r="FM36">
        <v>13.965</v>
      </c>
      <c r="FN36">
        <v>9.2070000000000007</v>
      </c>
      <c r="FO36">
        <v>14.308</v>
      </c>
      <c r="FP36">
        <v>13.42</v>
      </c>
      <c r="FQ36">
        <v>14.289</v>
      </c>
      <c r="FR36">
        <v>14.055</v>
      </c>
      <c r="FS36">
        <v>12.646000000000001</v>
      </c>
      <c r="FT36">
        <v>15.292999999999999</v>
      </c>
      <c r="FU36">
        <v>13.821999999999999</v>
      </c>
      <c r="FV36">
        <v>14.705</v>
      </c>
      <c r="FW36">
        <v>14.331</v>
      </c>
      <c r="FX36">
        <v>8.9359999999999999</v>
      </c>
      <c r="FY36">
        <v>15.316000000000001</v>
      </c>
      <c r="FZ36">
        <v>14.214</v>
      </c>
      <c r="GA36">
        <v>12.643000000000001</v>
      </c>
      <c r="GB36">
        <v>8.048</v>
      </c>
      <c r="GC36">
        <v>10.263</v>
      </c>
      <c r="GD36">
        <v>10.058999999999999</v>
      </c>
      <c r="GE36">
        <v>14.265000000000001</v>
      </c>
      <c r="GF36">
        <v>13.252000000000001</v>
      </c>
      <c r="GG36">
        <v>11.119</v>
      </c>
      <c r="GH36">
        <v>13.448</v>
      </c>
      <c r="GI36">
        <v>14.324</v>
      </c>
      <c r="GJ36">
        <v>16.254999999999999</v>
      </c>
      <c r="GK36">
        <v>15.368</v>
      </c>
      <c r="GL36">
        <v>14.635999999999999</v>
      </c>
      <c r="GM36">
        <v>10.362</v>
      </c>
      <c r="GN36">
        <v>14.411</v>
      </c>
      <c r="GO36">
        <v>15.762</v>
      </c>
      <c r="GP36">
        <v>13.196</v>
      </c>
      <c r="GQ36">
        <v>13.260999999999999</v>
      </c>
      <c r="GR36">
        <v>14.436</v>
      </c>
      <c r="GS36">
        <v>10.576000000000001</v>
      </c>
      <c r="GT36">
        <v>14.835000000000001</v>
      </c>
      <c r="GU36">
        <v>15.202</v>
      </c>
      <c r="GV36">
        <v>8.7680000000000007</v>
      </c>
      <c r="GW36">
        <v>15.759</v>
      </c>
      <c r="GX36">
        <v>16.074999999999999</v>
      </c>
      <c r="GY36">
        <v>15.08</v>
      </c>
      <c r="GZ36">
        <v>15.233000000000001</v>
      </c>
      <c r="HA36">
        <v>14.775</v>
      </c>
      <c r="HB36">
        <v>13.561</v>
      </c>
      <c r="HC36">
        <v>9.7680000000000007</v>
      </c>
      <c r="HD36">
        <v>9.1180000000000003</v>
      </c>
      <c r="HE36">
        <v>14.317</v>
      </c>
      <c r="HF36">
        <v>15.435</v>
      </c>
      <c r="HG36">
        <v>9.9920000000000009</v>
      </c>
      <c r="HH36">
        <v>15.028</v>
      </c>
      <c r="HI36">
        <v>12.141</v>
      </c>
      <c r="HJ36">
        <v>13.641</v>
      </c>
      <c r="HK36">
        <v>13.516999999999999</v>
      </c>
      <c r="HL36">
        <v>15.738</v>
      </c>
      <c r="HM36">
        <v>15.936999999999999</v>
      </c>
      <c r="HN36">
        <v>10.956</v>
      </c>
      <c r="HO36">
        <v>13.864000000000001</v>
      </c>
      <c r="HP36">
        <v>10.859</v>
      </c>
      <c r="HQ36">
        <v>14.856999999999999</v>
      </c>
      <c r="HR36">
        <v>14.664999999999999</v>
      </c>
      <c r="HS36">
        <v>12.965999999999999</v>
      </c>
      <c r="HT36">
        <v>15.048999999999999</v>
      </c>
      <c r="HU36">
        <v>12.858000000000001</v>
      </c>
      <c r="HV36">
        <v>13.144</v>
      </c>
      <c r="HW36">
        <v>13.03</v>
      </c>
      <c r="HX36">
        <v>14.577</v>
      </c>
      <c r="HY36">
        <v>14.986000000000001</v>
      </c>
      <c r="HZ36">
        <v>9.8829999999999991</v>
      </c>
      <c r="IA36">
        <v>13.116</v>
      </c>
      <c r="IB36">
        <v>14.683999999999999</v>
      </c>
      <c r="IC36">
        <v>14.329000000000001</v>
      </c>
      <c r="ID36">
        <v>13.036</v>
      </c>
      <c r="IE36">
        <v>11.643000000000001</v>
      </c>
      <c r="IF36">
        <v>13.449</v>
      </c>
      <c r="IG36">
        <v>15.894</v>
      </c>
      <c r="IH36">
        <v>14.821</v>
      </c>
      <c r="II36">
        <v>14.821</v>
      </c>
      <c r="IJ36">
        <v>14.33</v>
      </c>
      <c r="IK36">
        <v>13.48</v>
      </c>
      <c r="IL36">
        <v>13.708</v>
      </c>
      <c r="IM36">
        <v>16.442</v>
      </c>
      <c r="IN36">
        <v>14.744</v>
      </c>
      <c r="IO36">
        <v>14.074999999999999</v>
      </c>
      <c r="IP36">
        <v>10.833</v>
      </c>
      <c r="IQ36">
        <v>14.590999999999999</v>
      </c>
      <c r="IR36">
        <v>15.045999999999999</v>
      </c>
      <c r="IS36">
        <v>15.414</v>
      </c>
      <c r="IT36">
        <v>14.242000000000001</v>
      </c>
      <c r="IU36">
        <v>14.856999999999999</v>
      </c>
      <c r="IV36">
        <v>14.156000000000001</v>
      </c>
      <c r="IW36">
        <v>13.468</v>
      </c>
      <c r="IX36">
        <v>10.802</v>
      </c>
      <c r="IY36">
        <v>14.638</v>
      </c>
      <c r="IZ36">
        <v>14.53</v>
      </c>
      <c r="JA36">
        <v>14.933</v>
      </c>
      <c r="JB36">
        <v>13.38</v>
      </c>
      <c r="JC36">
        <v>14.606999999999999</v>
      </c>
      <c r="JD36">
        <v>13.727</v>
      </c>
      <c r="JE36">
        <v>12.651</v>
      </c>
      <c r="JF36">
        <v>14.741</v>
      </c>
      <c r="JG36">
        <v>16.102</v>
      </c>
      <c r="JH36">
        <v>13.853999999999999</v>
      </c>
      <c r="JI36">
        <v>9.2249999999999996</v>
      </c>
      <c r="JJ36">
        <v>13.84</v>
      </c>
      <c r="JK36">
        <v>9.8279999999999994</v>
      </c>
      <c r="JL36">
        <v>14.259</v>
      </c>
      <c r="JM36">
        <v>14.42</v>
      </c>
      <c r="JN36">
        <v>14.154999999999999</v>
      </c>
      <c r="JO36">
        <v>14.882</v>
      </c>
      <c r="JP36">
        <v>10.262</v>
      </c>
      <c r="JQ36">
        <v>14.242000000000001</v>
      </c>
      <c r="JR36">
        <v>13.73</v>
      </c>
      <c r="JS36">
        <v>14.753</v>
      </c>
      <c r="JT36">
        <v>14.194000000000001</v>
      </c>
      <c r="JU36">
        <v>13.72</v>
      </c>
      <c r="JV36">
        <v>13.763</v>
      </c>
      <c r="JW36">
        <v>16.042000000000002</v>
      </c>
      <c r="JX36">
        <v>14.356</v>
      </c>
      <c r="JY36">
        <v>15.694000000000001</v>
      </c>
      <c r="JZ36">
        <v>14.454000000000001</v>
      </c>
      <c r="KA36">
        <v>9.8160000000000007</v>
      </c>
      <c r="KB36">
        <v>13.839</v>
      </c>
      <c r="KC36">
        <v>14.234999999999999</v>
      </c>
      <c r="KD36">
        <v>13.425000000000001</v>
      </c>
      <c r="KE36">
        <v>11.708</v>
      </c>
      <c r="KF36">
        <v>9.7170000000000005</v>
      </c>
      <c r="KG36">
        <v>13.727</v>
      </c>
      <c r="KH36">
        <v>13.878</v>
      </c>
      <c r="KI36">
        <v>12.438000000000001</v>
      </c>
      <c r="KJ36">
        <v>14.276</v>
      </c>
      <c r="KK36">
        <v>14.369</v>
      </c>
      <c r="KL36">
        <v>11.083</v>
      </c>
      <c r="KM36">
        <v>10.846</v>
      </c>
      <c r="KN36">
        <v>14.3</v>
      </c>
      <c r="KO36">
        <v>12.94</v>
      </c>
      <c r="KP36">
        <v>12.95</v>
      </c>
      <c r="KQ36">
        <v>9.5579999999999998</v>
      </c>
      <c r="KR36">
        <v>9.5399999999999991</v>
      </c>
    </row>
    <row r="37" spans="1:304" x14ac:dyDescent="0.25">
      <c r="A37">
        <v>2016</v>
      </c>
      <c r="B37">
        <v>10</v>
      </c>
      <c r="C37">
        <v>0.56699999999999995</v>
      </c>
      <c r="D37">
        <v>7.2560000000000002</v>
      </c>
      <c r="E37">
        <v>7.1260000000000003</v>
      </c>
      <c r="F37">
        <v>6.5350000000000001</v>
      </c>
      <c r="G37">
        <v>6.5460000000000003</v>
      </c>
      <c r="H37">
        <v>2.524</v>
      </c>
      <c r="I37">
        <v>5.3159999999999998</v>
      </c>
      <c r="J37">
        <v>0.82599999999999996</v>
      </c>
      <c r="K37">
        <v>1.159</v>
      </c>
      <c r="L37">
        <v>6.0119999999999996</v>
      </c>
      <c r="M37">
        <v>8.1069999999999993</v>
      </c>
      <c r="N37">
        <v>5.4039999999999999</v>
      </c>
      <c r="O37">
        <v>8.0340000000000007</v>
      </c>
      <c r="P37">
        <v>6.077</v>
      </c>
      <c r="Q37">
        <v>2.0910000000000002</v>
      </c>
      <c r="R37">
        <v>8.0510000000000002</v>
      </c>
      <c r="S37">
        <v>2.5640000000000001</v>
      </c>
      <c r="T37">
        <v>4.444</v>
      </c>
      <c r="U37">
        <v>6.19</v>
      </c>
      <c r="V37">
        <v>6.5810000000000004</v>
      </c>
      <c r="W37">
        <v>8.702</v>
      </c>
      <c r="X37">
        <v>6.9329999999999998</v>
      </c>
      <c r="Y37">
        <v>1.9750000000000001</v>
      </c>
      <c r="Z37">
        <v>4.8390000000000004</v>
      </c>
      <c r="AA37">
        <v>7.593</v>
      </c>
      <c r="AB37">
        <v>6.8559999999999999</v>
      </c>
      <c r="AC37">
        <v>8.3079999999999998</v>
      </c>
      <c r="AD37">
        <v>1.766</v>
      </c>
      <c r="AE37">
        <v>8.8290000000000006</v>
      </c>
      <c r="AF37">
        <v>4.835</v>
      </c>
      <c r="AG37">
        <v>7.1269999999999998</v>
      </c>
      <c r="AH37">
        <v>5.7160000000000002</v>
      </c>
      <c r="AI37">
        <v>4.1950000000000003</v>
      </c>
      <c r="AJ37">
        <v>3.6360000000000001</v>
      </c>
      <c r="AK37">
        <v>5.9370000000000003</v>
      </c>
      <c r="AL37">
        <v>5.9850000000000003</v>
      </c>
      <c r="AM37">
        <v>6.899</v>
      </c>
      <c r="AN37">
        <v>6.5460000000000003</v>
      </c>
      <c r="AO37">
        <v>6.6879999999999997</v>
      </c>
      <c r="AP37">
        <v>8.26</v>
      </c>
      <c r="AQ37">
        <v>6.5270000000000001</v>
      </c>
      <c r="AR37">
        <v>5.3520000000000003</v>
      </c>
      <c r="AS37">
        <v>8.0250000000000004</v>
      </c>
      <c r="AT37">
        <v>5.91</v>
      </c>
      <c r="AU37">
        <v>6.649</v>
      </c>
      <c r="AV37">
        <v>5.1689999999999996</v>
      </c>
      <c r="AW37">
        <v>5.9429999999999996</v>
      </c>
      <c r="AX37">
        <v>6.7560000000000002</v>
      </c>
      <c r="AY37">
        <v>1.8129999999999999</v>
      </c>
      <c r="AZ37">
        <v>6.0270000000000001</v>
      </c>
      <c r="BA37">
        <v>9.6539999999999999</v>
      </c>
      <c r="BB37">
        <v>6.7380000000000004</v>
      </c>
      <c r="BC37">
        <v>0.875</v>
      </c>
      <c r="BD37">
        <v>6.0590000000000002</v>
      </c>
      <c r="BE37">
        <v>6.42</v>
      </c>
      <c r="BF37">
        <v>7.8079999999999998</v>
      </c>
      <c r="BG37">
        <v>1.7769999999999999</v>
      </c>
      <c r="BH37">
        <v>4.2530000000000001</v>
      </c>
      <c r="BI37">
        <v>0.60499999999999998</v>
      </c>
      <c r="BJ37">
        <v>6.8310000000000004</v>
      </c>
      <c r="BK37">
        <v>6.3339999999999996</v>
      </c>
      <c r="BL37">
        <v>6.851</v>
      </c>
      <c r="BM37">
        <v>6.9930000000000003</v>
      </c>
      <c r="BN37">
        <v>6.6029999999999998</v>
      </c>
      <c r="BO37">
        <v>6.8230000000000004</v>
      </c>
      <c r="BP37">
        <v>4.8120000000000003</v>
      </c>
      <c r="BQ37">
        <v>6.1239999999999997</v>
      </c>
      <c r="BR37">
        <v>4.9059999999999997</v>
      </c>
      <c r="BS37">
        <v>6.19</v>
      </c>
      <c r="BT37">
        <v>6.6980000000000004</v>
      </c>
      <c r="BU37">
        <v>7.3179999999999996</v>
      </c>
      <c r="BV37">
        <v>5.1230000000000002</v>
      </c>
      <c r="BW37">
        <v>7.6120000000000001</v>
      </c>
      <c r="BX37">
        <v>5.1360000000000001</v>
      </c>
      <c r="BY37">
        <v>0.73499999999999999</v>
      </c>
      <c r="BZ37">
        <v>8.407</v>
      </c>
      <c r="CA37">
        <v>0.20899999999999999</v>
      </c>
      <c r="CB37">
        <v>6.2350000000000003</v>
      </c>
      <c r="CC37">
        <v>7.8730000000000002</v>
      </c>
      <c r="CD37">
        <v>7.8520000000000003</v>
      </c>
      <c r="CE37">
        <v>6.6</v>
      </c>
      <c r="CF37">
        <v>7.0609999999999999</v>
      </c>
      <c r="CG37">
        <v>5.3570000000000002</v>
      </c>
      <c r="CH37">
        <v>6.33</v>
      </c>
      <c r="CI37">
        <v>2.589</v>
      </c>
      <c r="CJ37">
        <v>7.0060000000000002</v>
      </c>
      <c r="CK37">
        <v>3.472</v>
      </c>
      <c r="CL37">
        <v>6.9939999999999998</v>
      </c>
      <c r="CM37">
        <v>5.0579999999999998</v>
      </c>
      <c r="CN37">
        <v>7.1920000000000002</v>
      </c>
      <c r="CO37">
        <v>8.6769999999999996</v>
      </c>
      <c r="CP37">
        <v>6.7969999999999997</v>
      </c>
      <c r="CQ37">
        <v>1.0820000000000001</v>
      </c>
      <c r="CR37">
        <v>6.9029999999999996</v>
      </c>
      <c r="CS37">
        <v>7.2169999999999996</v>
      </c>
      <c r="CT37">
        <v>6.4710000000000001</v>
      </c>
      <c r="CU37">
        <v>2.387</v>
      </c>
      <c r="CV37">
        <v>2.9</v>
      </c>
      <c r="CW37">
        <v>8.4619999999999997</v>
      </c>
      <c r="CX37">
        <v>0.68600000000000005</v>
      </c>
      <c r="CY37">
        <v>7.335</v>
      </c>
      <c r="CZ37">
        <v>8.0399999999999991</v>
      </c>
      <c r="DA37">
        <v>5.4909999999999997</v>
      </c>
      <c r="DB37">
        <v>8.6180000000000003</v>
      </c>
      <c r="DC37">
        <v>6.7539999999999996</v>
      </c>
      <c r="DD37">
        <v>8.5820000000000007</v>
      </c>
      <c r="DE37">
        <v>6.0110000000000001</v>
      </c>
      <c r="DF37">
        <v>6.8479999999999999</v>
      </c>
      <c r="DG37">
        <v>0.13300000000000001</v>
      </c>
      <c r="DH37">
        <v>6.6349999999999998</v>
      </c>
      <c r="DI37">
        <v>6.4089999999999998</v>
      </c>
      <c r="DJ37">
        <v>6.4039999999999999</v>
      </c>
      <c r="DK37">
        <v>4.7089999999999996</v>
      </c>
      <c r="DL37">
        <v>3.8959999999999999</v>
      </c>
      <c r="DM37">
        <v>8.3130000000000006</v>
      </c>
      <c r="DN37">
        <v>6.242</v>
      </c>
      <c r="DO37">
        <v>7.327</v>
      </c>
      <c r="DP37">
        <v>6.2869999999999999</v>
      </c>
      <c r="DQ37">
        <v>7.851</v>
      </c>
      <c r="DR37">
        <v>6.5039999999999996</v>
      </c>
      <c r="DS37">
        <v>7.7380000000000004</v>
      </c>
      <c r="DT37">
        <v>6.6509999999999998</v>
      </c>
      <c r="DU37">
        <v>-0.2</v>
      </c>
      <c r="DV37">
        <v>8.7409999999999997</v>
      </c>
      <c r="DW37">
        <v>6.0209999999999999</v>
      </c>
      <c r="DX37">
        <v>6.0720000000000001</v>
      </c>
      <c r="DY37">
        <v>4.2850000000000001</v>
      </c>
      <c r="DZ37">
        <v>6.8630000000000004</v>
      </c>
      <c r="EA37">
        <v>6.5720000000000001</v>
      </c>
      <c r="EB37">
        <v>7.1680000000000001</v>
      </c>
      <c r="EC37">
        <v>7.3129999999999997</v>
      </c>
      <c r="ED37">
        <v>6.9619999999999997</v>
      </c>
      <c r="EE37">
        <v>5.5220000000000002</v>
      </c>
      <c r="EF37">
        <v>7.0309999999999997</v>
      </c>
      <c r="EG37">
        <v>6.7279999999999998</v>
      </c>
      <c r="EH37">
        <v>3.7429999999999999</v>
      </c>
      <c r="EI37">
        <v>8.8460000000000001</v>
      </c>
      <c r="EJ37">
        <v>4.6879999999999997</v>
      </c>
      <c r="EK37">
        <v>3.6469999999999998</v>
      </c>
      <c r="EL37">
        <v>8.593</v>
      </c>
      <c r="EM37">
        <v>1.637</v>
      </c>
      <c r="EN37">
        <v>1.2450000000000001</v>
      </c>
      <c r="EO37">
        <v>6.4550000000000001</v>
      </c>
      <c r="EP37">
        <v>8.9209999999999994</v>
      </c>
      <c r="EQ37">
        <v>7.7690000000000001</v>
      </c>
      <c r="ER37">
        <v>3.2090000000000001</v>
      </c>
      <c r="ES37">
        <v>7.2889999999999997</v>
      </c>
      <c r="ET37">
        <v>6.3310000000000004</v>
      </c>
      <c r="EU37">
        <v>7.327</v>
      </c>
      <c r="EV37">
        <v>8.2650000000000006</v>
      </c>
      <c r="EW37">
        <v>8.5419999999999998</v>
      </c>
      <c r="EX37">
        <v>6.8710000000000004</v>
      </c>
      <c r="EY37">
        <v>5.7779999999999996</v>
      </c>
      <c r="EZ37">
        <v>7.05</v>
      </c>
      <c r="FA37">
        <v>6.8029999999999999</v>
      </c>
      <c r="FB37">
        <v>7.577</v>
      </c>
      <c r="FC37">
        <v>4.4039999999999999</v>
      </c>
      <c r="FD37">
        <v>6.9550000000000001</v>
      </c>
      <c r="FE37">
        <v>7.2539999999999996</v>
      </c>
      <c r="FF37">
        <v>5.766</v>
      </c>
      <c r="FG37">
        <v>5.4260000000000002</v>
      </c>
      <c r="FH37">
        <v>4.7590000000000003</v>
      </c>
      <c r="FI37">
        <v>4.4550000000000001</v>
      </c>
      <c r="FJ37">
        <v>3.7959999999999998</v>
      </c>
      <c r="FK37">
        <v>7.0449999999999999</v>
      </c>
      <c r="FL37">
        <v>6.6120000000000001</v>
      </c>
      <c r="FM37">
        <v>7.2789999999999999</v>
      </c>
      <c r="FN37">
        <v>1.748</v>
      </c>
      <c r="FO37">
        <v>7.234</v>
      </c>
      <c r="FP37">
        <v>5.2119999999999997</v>
      </c>
      <c r="FQ37">
        <v>6.8949999999999996</v>
      </c>
      <c r="FR37">
        <v>7.4029999999999996</v>
      </c>
      <c r="FS37">
        <v>4.0819999999999999</v>
      </c>
      <c r="FT37">
        <v>7.4809999999999999</v>
      </c>
      <c r="FU37">
        <v>7.2460000000000004</v>
      </c>
      <c r="FV37">
        <v>7.9669999999999996</v>
      </c>
      <c r="FW37">
        <v>7.6260000000000003</v>
      </c>
      <c r="FX37">
        <v>1.4430000000000001</v>
      </c>
      <c r="FY37">
        <v>7.2309999999999999</v>
      </c>
      <c r="FZ37">
        <v>7.4249999999999998</v>
      </c>
      <c r="GA37">
        <v>4.1900000000000004</v>
      </c>
      <c r="GB37">
        <v>0.97899999999999998</v>
      </c>
      <c r="GC37">
        <v>3.41</v>
      </c>
      <c r="GD37">
        <v>3.1320000000000001</v>
      </c>
      <c r="GE37">
        <v>6.6260000000000003</v>
      </c>
      <c r="GF37">
        <v>5.71</v>
      </c>
      <c r="GG37">
        <v>1.879</v>
      </c>
      <c r="GH37">
        <v>5.9240000000000004</v>
      </c>
      <c r="GI37">
        <v>6.6260000000000003</v>
      </c>
      <c r="GJ37">
        <v>9.6910000000000007</v>
      </c>
      <c r="GK37">
        <v>8.1029999999999998</v>
      </c>
      <c r="GL37">
        <v>6.4829999999999997</v>
      </c>
      <c r="GM37">
        <v>3.4359999999999999</v>
      </c>
      <c r="GN37">
        <v>6.2779999999999996</v>
      </c>
      <c r="GO37">
        <v>8.51</v>
      </c>
      <c r="GP37">
        <v>5.3159999999999998</v>
      </c>
      <c r="GQ37">
        <v>6.5949999999999998</v>
      </c>
      <c r="GR37">
        <v>6.9829999999999997</v>
      </c>
      <c r="GS37">
        <v>2.6080000000000001</v>
      </c>
      <c r="GT37">
        <v>7.06</v>
      </c>
      <c r="GU37">
        <v>8.5640000000000001</v>
      </c>
      <c r="GV37">
        <v>0.92800000000000005</v>
      </c>
      <c r="GW37">
        <v>8.0500000000000007</v>
      </c>
      <c r="GX37">
        <v>8.5690000000000008</v>
      </c>
      <c r="GY37">
        <v>7.2969999999999997</v>
      </c>
      <c r="GZ37">
        <v>7.3129999999999997</v>
      </c>
      <c r="HA37">
        <v>7.2270000000000003</v>
      </c>
      <c r="HB37">
        <v>5.5149999999999997</v>
      </c>
      <c r="HC37">
        <v>0.66500000000000004</v>
      </c>
      <c r="HD37">
        <v>1.135</v>
      </c>
      <c r="HE37">
        <v>6.7549999999999999</v>
      </c>
      <c r="HF37">
        <v>7.4029999999999996</v>
      </c>
      <c r="HG37">
        <v>2.0219999999999998</v>
      </c>
      <c r="HH37">
        <v>7.2519999999999998</v>
      </c>
      <c r="HI37">
        <v>4.742</v>
      </c>
      <c r="HJ37">
        <v>5.3630000000000004</v>
      </c>
      <c r="HK37">
        <v>5.9139999999999997</v>
      </c>
      <c r="HL37">
        <v>8.2059999999999995</v>
      </c>
      <c r="HM37">
        <v>8.4740000000000002</v>
      </c>
      <c r="HN37">
        <v>1.534</v>
      </c>
      <c r="HO37">
        <v>6.3460000000000001</v>
      </c>
      <c r="HP37">
        <v>1.0649999999999999</v>
      </c>
      <c r="HQ37">
        <v>8.2240000000000002</v>
      </c>
      <c r="HR37">
        <v>7.0979999999999999</v>
      </c>
      <c r="HS37">
        <v>5.6319999999999997</v>
      </c>
      <c r="HT37">
        <v>7.41</v>
      </c>
      <c r="HU37">
        <v>4.8860000000000001</v>
      </c>
      <c r="HV37">
        <v>4.9550000000000001</v>
      </c>
      <c r="HW37">
        <v>5.9569999999999999</v>
      </c>
      <c r="HX37">
        <v>7.21</v>
      </c>
      <c r="HY37">
        <v>7.2679999999999998</v>
      </c>
      <c r="HZ37">
        <v>0.47599999999999998</v>
      </c>
      <c r="IA37">
        <v>5.7649999999999997</v>
      </c>
      <c r="IB37">
        <v>6.7649999999999997</v>
      </c>
      <c r="IC37">
        <v>6.242</v>
      </c>
      <c r="ID37">
        <v>5.9470000000000001</v>
      </c>
      <c r="IE37">
        <v>4.391</v>
      </c>
      <c r="IF37">
        <v>6.8970000000000002</v>
      </c>
      <c r="IG37">
        <v>8.032</v>
      </c>
      <c r="IH37">
        <v>8.1460000000000008</v>
      </c>
      <c r="II37">
        <v>6.9530000000000003</v>
      </c>
      <c r="IJ37">
        <v>6.3040000000000003</v>
      </c>
      <c r="IK37">
        <v>4.8179999999999996</v>
      </c>
      <c r="IL37">
        <v>6.2759999999999998</v>
      </c>
      <c r="IM37">
        <v>9.1489999999999991</v>
      </c>
      <c r="IN37">
        <v>7.1369999999999996</v>
      </c>
      <c r="IO37">
        <v>7.1920000000000002</v>
      </c>
      <c r="IP37">
        <v>1.885</v>
      </c>
      <c r="IQ37">
        <v>6.9790000000000001</v>
      </c>
      <c r="IR37">
        <v>7.0780000000000003</v>
      </c>
      <c r="IS37">
        <v>8.34</v>
      </c>
      <c r="IT37">
        <v>7.2439999999999998</v>
      </c>
      <c r="IU37">
        <v>7.2460000000000004</v>
      </c>
      <c r="IV37">
        <v>7.07</v>
      </c>
      <c r="IW37">
        <v>5.7839999999999998</v>
      </c>
      <c r="IX37">
        <v>3.6560000000000001</v>
      </c>
      <c r="IY37">
        <v>6.9470000000000001</v>
      </c>
      <c r="IZ37">
        <v>6.8070000000000004</v>
      </c>
      <c r="JA37">
        <v>7.1189999999999998</v>
      </c>
      <c r="JB37">
        <v>6.2439999999999998</v>
      </c>
      <c r="JC37">
        <v>7.5739999999999998</v>
      </c>
      <c r="JD37">
        <v>6.3630000000000004</v>
      </c>
      <c r="JE37">
        <v>3.8010000000000002</v>
      </c>
      <c r="JF37">
        <v>6.7080000000000002</v>
      </c>
      <c r="JG37">
        <v>8.1069999999999993</v>
      </c>
      <c r="JH37">
        <v>6.08</v>
      </c>
      <c r="JI37">
        <v>0.874</v>
      </c>
      <c r="JJ37">
        <v>6.7789999999999999</v>
      </c>
      <c r="JK37">
        <v>2.0739999999999998</v>
      </c>
      <c r="JL37">
        <v>6.6589999999999998</v>
      </c>
      <c r="JM37">
        <v>7.6150000000000002</v>
      </c>
      <c r="JN37">
        <v>6.2469999999999999</v>
      </c>
      <c r="JO37">
        <v>7.3120000000000003</v>
      </c>
      <c r="JP37">
        <v>2.7069999999999999</v>
      </c>
      <c r="JQ37">
        <v>7.2530000000000001</v>
      </c>
      <c r="JR37">
        <v>6.47</v>
      </c>
      <c r="JS37">
        <v>8.1679999999999993</v>
      </c>
      <c r="JT37">
        <v>6.4729999999999999</v>
      </c>
      <c r="JU37">
        <v>6.52</v>
      </c>
      <c r="JV37">
        <v>6.1539999999999999</v>
      </c>
      <c r="JW37">
        <v>9.125</v>
      </c>
      <c r="JX37">
        <v>6.734</v>
      </c>
      <c r="JY37">
        <v>8.0749999999999993</v>
      </c>
      <c r="JZ37">
        <v>6.6079999999999997</v>
      </c>
      <c r="KA37">
        <v>1.1579999999999999</v>
      </c>
      <c r="KB37">
        <v>5.5250000000000004</v>
      </c>
      <c r="KC37">
        <v>6.2030000000000003</v>
      </c>
      <c r="KD37">
        <v>6.9420000000000002</v>
      </c>
      <c r="KE37">
        <v>3.1240000000000001</v>
      </c>
      <c r="KF37">
        <v>2.0019999999999998</v>
      </c>
      <c r="KG37">
        <v>6.0519999999999996</v>
      </c>
      <c r="KH37">
        <v>7.42</v>
      </c>
      <c r="KI37">
        <v>4.9429999999999996</v>
      </c>
      <c r="KJ37">
        <v>6.4489999999999998</v>
      </c>
      <c r="KK37">
        <v>7.3760000000000003</v>
      </c>
      <c r="KL37">
        <v>3.931</v>
      </c>
      <c r="KM37">
        <v>2.1930000000000001</v>
      </c>
      <c r="KN37">
        <v>7.1059999999999999</v>
      </c>
      <c r="KO37">
        <v>6.4740000000000002</v>
      </c>
      <c r="KP37">
        <v>3.9870000000000001</v>
      </c>
      <c r="KQ37">
        <v>2.0760000000000001</v>
      </c>
      <c r="KR37">
        <v>2.306</v>
      </c>
    </row>
    <row r="38" spans="1:304" x14ac:dyDescent="0.25">
      <c r="A38">
        <v>2016</v>
      </c>
      <c r="B38">
        <v>11</v>
      </c>
      <c r="C38">
        <v>-5.1859999999999999</v>
      </c>
      <c r="D38">
        <v>1.8480000000000001</v>
      </c>
      <c r="E38">
        <v>2.4630000000000001</v>
      </c>
      <c r="F38">
        <v>1.821</v>
      </c>
      <c r="G38">
        <v>1.57</v>
      </c>
      <c r="H38">
        <v>-2.8530000000000002</v>
      </c>
      <c r="I38">
        <v>0.36799999999999999</v>
      </c>
      <c r="J38">
        <v>-6.694</v>
      </c>
      <c r="K38">
        <v>-5.8220000000000001</v>
      </c>
      <c r="L38">
        <v>1.181</v>
      </c>
      <c r="M38">
        <v>3.569</v>
      </c>
      <c r="N38">
        <v>0.14000000000000001</v>
      </c>
      <c r="O38">
        <v>3.6379999999999999</v>
      </c>
      <c r="P38">
        <v>1.107</v>
      </c>
      <c r="Q38">
        <v>-2.831</v>
      </c>
      <c r="R38">
        <v>3.5369999999999999</v>
      </c>
      <c r="S38">
        <v>-4.609</v>
      </c>
      <c r="T38">
        <v>-0.80400000000000005</v>
      </c>
      <c r="U38">
        <v>1.3520000000000001</v>
      </c>
      <c r="V38">
        <v>1.651</v>
      </c>
      <c r="W38">
        <v>3.6829999999999998</v>
      </c>
      <c r="X38">
        <v>1.663</v>
      </c>
      <c r="Y38">
        <v>-3.165</v>
      </c>
      <c r="Z38">
        <v>-3.1E-2</v>
      </c>
      <c r="AA38">
        <v>2.4079999999999999</v>
      </c>
      <c r="AB38">
        <v>1.7669999999999999</v>
      </c>
      <c r="AC38">
        <v>3.113</v>
      </c>
      <c r="AD38">
        <v>-3.282</v>
      </c>
      <c r="AE38">
        <v>4.3470000000000004</v>
      </c>
      <c r="AF38">
        <v>-0.24299999999999999</v>
      </c>
      <c r="AG38">
        <v>1.9359999999999999</v>
      </c>
      <c r="AH38">
        <v>0.874</v>
      </c>
      <c r="AI38">
        <v>-1.1559999999999999</v>
      </c>
      <c r="AJ38">
        <v>-1.0680000000000001</v>
      </c>
      <c r="AK38">
        <v>1.075</v>
      </c>
      <c r="AL38">
        <v>1.163</v>
      </c>
      <c r="AM38">
        <v>1.94</v>
      </c>
      <c r="AN38">
        <v>0.91900000000000004</v>
      </c>
      <c r="AO38">
        <v>1.3009999999999999</v>
      </c>
      <c r="AP38">
        <v>3.4220000000000002</v>
      </c>
      <c r="AQ38">
        <v>1.671</v>
      </c>
      <c r="AR38">
        <v>0.187</v>
      </c>
      <c r="AS38">
        <v>3.6930000000000001</v>
      </c>
      <c r="AT38">
        <v>1.208</v>
      </c>
      <c r="AU38">
        <v>1.665</v>
      </c>
      <c r="AV38">
        <v>5.6000000000000001E-2</v>
      </c>
      <c r="AW38">
        <v>0.69599999999999995</v>
      </c>
      <c r="AX38">
        <v>1.569</v>
      </c>
      <c r="AY38">
        <v>-3.4060000000000001</v>
      </c>
      <c r="AZ38">
        <v>0.82299999999999995</v>
      </c>
      <c r="BA38">
        <v>5.4729999999999999</v>
      </c>
      <c r="BB38">
        <v>1.325</v>
      </c>
      <c r="BC38">
        <v>-4.4320000000000004</v>
      </c>
      <c r="BD38">
        <v>0.81699999999999995</v>
      </c>
      <c r="BE38">
        <v>1.369</v>
      </c>
      <c r="BF38">
        <v>3.3010000000000002</v>
      </c>
      <c r="BG38">
        <v>-3.2850000000000001</v>
      </c>
      <c r="BH38">
        <v>-0.59499999999999997</v>
      </c>
      <c r="BI38">
        <v>-8.0690000000000008</v>
      </c>
      <c r="BJ38">
        <v>1.351</v>
      </c>
      <c r="BK38">
        <v>1.306</v>
      </c>
      <c r="BL38">
        <v>2.004</v>
      </c>
      <c r="BM38">
        <v>1.96</v>
      </c>
      <c r="BN38">
        <v>1.78</v>
      </c>
      <c r="BO38">
        <v>1.357</v>
      </c>
      <c r="BP38">
        <v>-0.436</v>
      </c>
      <c r="BQ38">
        <v>1.2849999999999999</v>
      </c>
      <c r="BR38">
        <v>5.0000000000000001E-3</v>
      </c>
      <c r="BS38">
        <v>0.71699999999999997</v>
      </c>
      <c r="BT38">
        <v>1.778</v>
      </c>
      <c r="BU38">
        <v>2.6680000000000001</v>
      </c>
      <c r="BV38">
        <v>7.0999999999999994E-2</v>
      </c>
      <c r="BW38">
        <v>2.5390000000000001</v>
      </c>
      <c r="BX38">
        <v>4.5999999999999999E-2</v>
      </c>
      <c r="BY38">
        <v>-4.1180000000000003</v>
      </c>
      <c r="BZ38">
        <v>4.0570000000000004</v>
      </c>
      <c r="CA38">
        <v>-4.6239999999999997</v>
      </c>
      <c r="CB38">
        <v>1.5169999999999999</v>
      </c>
      <c r="CC38">
        <v>3.0019999999999998</v>
      </c>
      <c r="CD38">
        <v>3.0219999999999998</v>
      </c>
      <c r="CE38">
        <v>1.66</v>
      </c>
      <c r="CF38">
        <v>1.8120000000000001</v>
      </c>
      <c r="CG38">
        <v>0.127</v>
      </c>
      <c r="CH38">
        <v>1.179</v>
      </c>
      <c r="CI38">
        <v>-2.8279999999999998</v>
      </c>
      <c r="CJ38">
        <v>1.7529999999999999</v>
      </c>
      <c r="CK38">
        <v>-3.73</v>
      </c>
      <c r="CL38">
        <v>2.407</v>
      </c>
      <c r="CM38">
        <v>-0.17199999999999999</v>
      </c>
      <c r="CN38">
        <v>1.8759999999999999</v>
      </c>
      <c r="CO38">
        <v>4.2629999999999999</v>
      </c>
      <c r="CP38">
        <v>1.8819999999999999</v>
      </c>
      <c r="CQ38">
        <v>-7.7439999999999998</v>
      </c>
      <c r="CR38">
        <v>1.6459999999999999</v>
      </c>
      <c r="CS38">
        <v>1.946</v>
      </c>
      <c r="CT38">
        <v>1.554</v>
      </c>
      <c r="CU38">
        <v>-2.74</v>
      </c>
      <c r="CV38">
        <v>-3.794</v>
      </c>
      <c r="CW38">
        <v>3.1779999999999999</v>
      </c>
      <c r="CX38">
        <v>-8.7780000000000005</v>
      </c>
      <c r="CY38">
        <v>2.516</v>
      </c>
      <c r="CZ38">
        <v>2.9550000000000001</v>
      </c>
      <c r="DA38">
        <v>0.59899999999999998</v>
      </c>
      <c r="DB38">
        <v>3.6859999999999999</v>
      </c>
      <c r="DC38">
        <v>1.415</v>
      </c>
      <c r="DD38">
        <v>3.931</v>
      </c>
      <c r="DE38">
        <v>0.82599999999999996</v>
      </c>
      <c r="DF38">
        <v>1.837</v>
      </c>
      <c r="DG38">
        <v>-8.1379999999999999</v>
      </c>
      <c r="DH38">
        <v>1.5029999999999999</v>
      </c>
      <c r="DI38">
        <v>1.099</v>
      </c>
      <c r="DJ38">
        <v>0.96699999999999997</v>
      </c>
      <c r="DK38">
        <v>-0.40799999999999997</v>
      </c>
      <c r="DL38">
        <v>-1.071</v>
      </c>
      <c r="DM38">
        <v>3.1030000000000002</v>
      </c>
      <c r="DN38">
        <v>1.33</v>
      </c>
      <c r="DO38">
        <v>2.7330000000000001</v>
      </c>
      <c r="DP38">
        <v>1.351</v>
      </c>
      <c r="DQ38">
        <v>3.2320000000000002</v>
      </c>
      <c r="DR38">
        <v>1.4750000000000001</v>
      </c>
      <c r="DS38">
        <v>3.0350000000000001</v>
      </c>
      <c r="DT38">
        <v>1.3069999999999999</v>
      </c>
      <c r="DU38">
        <v>-7.69</v>
      </c>
      <c r="DV38">
        <v>4.375</v>
      </c>
      <c r="DW38">
        <v>1.2450000000000001</v>
      </c>
      <c r="DX38">
        <v>1.135</v>
      </c>
      <c r="DY38">
        <v>-0.47599999999999998</v>
      </c>
      <c r="DZ38">
        <v>2.1880000000000002</v>
      </c>
      <c r="EA38">
        <v>1.639</v>
      </c>
      <c r="EB38">
        <v>1.9750000000000001</v>
      </c>
      <c r="EC38">
        <v>2.3010000000000002</v>
      </c>
      <c r="ED38">
        <v>2.0790000000000002</v>
      </c>
      <c r="EE38">
        <v>0.32400000000000001</v>
      </c>
      <c r="EF38">
        <v>2.1030000000000002</v>
      </c>
      <c r="EG38">
        <v>1.792</v>
      </c>
      <c r="EH38">
        <v>-1.6879999999999999</v>
      </c>
      <c r="EI38">
        <v>4.3440000000000003</v>
      </c>
      <c r="EJ38">
        <v>-0.19800000000000001</v>
      </c>
      <c r="EK38">
        <v>-3.125</v>
      </c>
      <c r="EL38">
        <v>3.9279999999999999</v>
      </c>
      <c r="EM38">
        <v>-3.6819999999999999</v>
      </c>
      <c r="EN38">
        <v>-5.0579999999999998</v>
      </c>
      <c r="EO38">
        <v>1.7010000000000001</v>
      </c>
      <c r="EP38">
        <v>4.5270000000000001</v>
      </c>
      <c r="EQ38">
        <v>3.3370000000000002</v>
      </c>
      <c r="ER38">
        <v>-1.679</v>
      </c>
      <c r="ES38">
        <v>2.46</v>
      </c>
      <c r="ET38">
        <v>1.022</v>
      </c>
      <c r="EU38">
        <v>2.1949999999999998</v>
      </c>
      <c r="EV38">
        <v>2.8159999999999998</v>
      </c>
      <c r="EW38">
        <v>3.4620000000000002</v>
      </c>
      <c r="EX38">
        <v>2.0790000000000002</v>
      </c>
      <c r="EY38">
        <v>1.0589999999999999</v>
      </c>
      <c r="EZ38">
        <v>2.21</v>
      </c>
      <c r="FA38">
        <v>2.0550000000000002</v>
      </c>
      <c r="FB38">
        <v>2.9849999999999999</v>
      </c>
      <c r="FC38">
        <v>-0.371</v>
      </c>
      <c r="FD38">
        <v>2.0710000000000002</v>
      </c>
      <c r="FE38">
        <v>2.0329999999999999</v>
      </c>
      <c r="FF38">
        <v>0.98399999999999999</v>
      </c>
      <c r="FG38">
        <v>0.47299999999999998</v>
      </c>
      <c r="FH38">
        <v>-7.8E-2</v>
      </c>
      <c r="FI38">
        <v>-0.752</v>
      </c>
      <c r="FJ38">
        <v>-1.1559999999999999</v>
      </c>
      <c r="FK38">
        <v>1.9239999999999999</v>
      </c>
      <c r="FL38">
        <v>1.32</v>
      </c>
      <c r="FM38">
        <v>2.2120000000000002</v>
      </c>
      <c r="FN38">
        <v>-4.2850000000000001</v>
      </c>
      <c r="FO38">
        <v>1.7529999999999999</v>
      </c>
      <c r="FP38">
        <v>4.9000000000000002E-2</v>
      </c>
      <c r="FQ38">
        <v>1.4379999999999999</v>
      </c>
      <c r="FR38">
        <v>2.242</v>
      </c>
      <c r="FS38">
        <v>-0.75</v>
      </c>
      <c r="FT38">
        <v>2.8210000000000002</v>
      </c>
      <c r="FU38">
        <v>2.1989999999999998</v>
      </c>
      <c r="FV38">
        <v>2.5169999999999999</v>
      </c>
      <c r="FW38">
        <v>2.246</v>
      </c>
      <c r="FX38">
        <v>-6.51</v>
      </c>
      <c r="FY38">
        <v>2.6259999999999999</v>
      </c>
      <c r="FZ38">
        <v>2.5680000000000001</v>
      </c>
      <c r="GA38">
        <v>-0.53300000000000003</v>
      </c>
      <c r="GB38">
        <v>-4.0890000000000004</v>
      </c>
      <c r="GC38">
        <v>-1.913</v>
      </c>
      <c r="GD38">
        <v>-3.2269999999999999</v>
      </c>
      <c r="GE38">
        <v>1.462</v>
      </c>
      <c r="GF38">
        <v>0.28499999999999998</v>
      </c>
      <c r="GG38">
        <v>-3.153</v>
      </c>
      <c r="GH38">
        <v>1.0229999999999999</v>
      </c>
      <c r="GI38">
        <v>1.2729999999999999</v>
      </c>
      <c r="GJ38">
        <v>4.87</v>
      </c>
      <c r="GK38">
        <v>3.43</v>
      </c>
      <c r="GL38">
        <v>1.71</v>
      </c>
      <c r="GM38">
        <v>-2.7930000000000001</v>
      </c>
      <c r="GN38">
        <v>1.5529999999999999</v>
      </c>
      <c r="GO38">
        <v>3.9820000000000002</v>
      </c>
      <c r="GP38">
        <v>0.14099999999999999</v>
      </c>
      <c r="GQ38">
        <v>1.302</v>
      </c>
      <c r="GR38">
        <v>1.601</v>
      </c>
      <c r="GS38">
        <v>-2.48</v>
      </c>
      <c r="GT38">
        <v>1.823</v>
      </c>
      <c r="GU38">
        <v>3.4929999999999999</v>
      </c>
      <c r="GV38">
        <v>-6.1619999999999999</v>
      </c>
      <c r="GW38">
        <v>3.8159999999999998</v>
      </c>
      <c r="GX38">
        <v>3.9609999999999999</v>
      </c>
      <c r="GY38">
        <v>2.0489999999999999</v>
      </c>
      <c r="GZ38">
        <v>2.6629999999999998</v>
      </c>
      <c r="HA38">
        <v>1.9990000000000001</v>
      </c>
      <c r="HB38">
        <v>0.44400000000000001</v>
      </c>
      <c r="HC38">
        <v>-3.391</v>
      </c>
      <c r="HD38">
        <v>-4.915</v>
      </c>
      <c r="HE38">
        <v>1.1399999999999999</v>
      </c>
      <c r="HF38">
        <v>2.742</v>
      </c>
      <c r="HG38">
        <v>-3.044</v>
      </c>
      <c r="HH38">
        <v>2.012</v>
      </c>
      <c r="HI38">
        <v>-0.66200000000000003</v>
      </c>
      <c r="HJ38">
        <v>0.35</v>
      </c>
      <c r="HK38">
        <v>0.52300000000000002</v>
      </c>
      <c r="HL38">
        <v>3.5390000000000001</v>
      </c>
      <c r="HM38">
        <v>3.97</v>
      </c>
      <c r="HN38">
        <v>-3.323</v>
      </c>
      <c r="HO38">
        <v>1.333</v>
      </c>
      <c r="HP38">
        <v>-4.2140000000000004</v>
      </c>
      <c r="HQ38">
        <v>3.2770000000000001</v>
      </c>
      <c r="HR38">
        <v>1.754</v>
      </c>
      <c r="HS38">
        <v>0.32800000000000001</v>
      </c>
      <c r="HT38">
        <v>2.3180000000000001</v>
      </c>
      <c r="HU38">
        <v>-1.2999999999999999E-2</v>
      </c>
      <c r="HV38">
        <v>4.0000000000000001E-3</v>
      </c>
      <c r="HW38">
        <v>0.71</v>
      </c>
      <c r="HX38">
        <v>2.1080000000000001</v>
      </c>
      <c r="HY38">
        <v>2.04</v>
      </c>
      <c r="HZ38">
        <v>-4.569</v>
      </c>
      <c r="IA38">
        <v>0.36399999999999999</v>
      </c>
      <c r="IB38">
        <v>2.0310000000000001</v>
      </c>
      <c r="IC38">
        <v>1.53</v>
      </c>
      <c r="ID38">
        <v>0.62</v>
      </c>
      <c r="IE38">
        <v>-1.1299999999999999</v>
      </c>
      <c r="IF38">
        <v>1.974</v>
      </c>
      <c r="IG38">
        <v>3.7349999999999999</v>
      </c>
      <c r="IH38">
        <v>3.0640000000000001</v>
      </c>
      <c r="II38">
        <v>1.8740000000000001</v>
      </c>
      <c r="IJ38">
        <v>1.631</v>
      </c>
      <c r="IK38">
        <v>-0.23499999999999999</v>
      </c>
      <c r="IL38">
        <v>1.2070000000000001</v>
      </c>
      <c r="IM38">
        <v>4.8719999999999999</v>
      </c>
      <c r="IN38">
        <v>1.9830000000000001</v>
      </c>
      <c r="IO38">
        <v>1.8540000000000001</v>
      </c>
      <c r="IP38">
        <v>-3.0960000000000001</v>
      </c>
      <c r="IQ38">
        <v>1.7969999999999999</v>
      </c>
      <c r="IR38">
        <v>2.4039999999999999</v>
      </c>
      <c r="IS38">
        <v>3.59</v>
      </c>
      <c r="IT38">
        <v>2.0150000000000001</v>
      </c>
      <c r="IU38">
        <v>2.403</v>
      </c>
      <c r="IV38">
        <v>2.2109999999999999</v>
      </c>
      <c r="IW38">
        <v>0.97599999999999998</v>
      </c>
      <c r="IX38">
        <v>-1.3</v>
      </c>
      <c r="IY38">
        <v>1.546</v>
      </c>
      <c r="IZ38">
        <v>1.5569999999999999</v>
      </c>
      <c r="JA38">
        <v>2.4369999999999998</v>
      </c>
      <c r="JB38">
        <v>1.1339999999999999</v>
      </c>
      <c r="JC38">
        <v>2.2519999999999998</v>
      </c>
      <c r="JD38">
        <v>1.2290000000000001</v>
      </c>
      <c r="JE38">
        <v>-1.0880000000000001</v>
      </c>
      <c r="JF38">
        <v>1.8680000000000001</v>
      </c>
      <c r="JG38">
        <v>3.738</v>
      </c>
      <c r="JH38">
        <v>1.2010000000000001</v>
      </c>
      <c r="JI38">
        <v>-4.26</v>
      </c>
      <c r="JJ38">
        <v>1.51</v>
      </c>
      <c r="JK38">
        <v>-2.923</v>
      </c>
      <c r="JL38">
        <v>1.393</v>
      </c>
      <c r="JM38">
        <v>3.5529999999999999</v>
      </c>
      <c r="JN38">
        <v>1.5489999999999999</v>
      </c>
      <c r="JO38">
        <v>2.044</v>
      </c>
      <c r="JP38">
        <v>-2.2410000000000001</v>
      </c>
      <c r="JQ38">
        <v>2.0409999999999999</v>
      </c>
      <c r="JR38">
        <v>1.4970000000000001</v>
      </c>
      <c r="JS38">
        <v>2.8610000000000002</v>
      </c>
      <c r="JT38">
        <v>0.98899999999999999</v>
      </c>
      <c r="JU38">
        <v>1.5649999999999999</v>
      </c>
      <c r="JV38">
        <v>1.35</v>
      </c>
      <c r="JW38">
        <v>4.5759999999999996</v>
      </c>
      <c r="JX38">
        <v>1.59</v>
      </c>
      <c r="JY38">
        <v>3.5219999999999998</v>
      </c>
      <c r="JZ38">
        <v>1.288</v>
      </c>
      <c r="KA38">
        <v>-3.4</v>
      </c>
      <c r="KB38">
        <v>0.32400000000000001</v>
      </c>
      <c r="KC38">
        <v>1.427</v>
      </c>
      <c r="KD38">
        <v>1.9419999999999999</v>
      </c>
      <c r="KE38">
        <v>-1.913</v>
      </c>
      <c r="KF38">
        <v>-4.9039999999999999</v>
      </c>
      <c r="KG38">
        <v>1.3220000000000001</v>
      </c>
      <c r="KH38">
        <v>2.3719999999999999</v>
      </c>
      <c r="KI38">
        <v>-0.19900000000000001</v>
      </c>
      <c r="KJ38">
        <v>1.3149999999999999</v>
      </c>
      <c r="KK38">
        <v>2.65</v>
      </c>
      <c r="KL38">
        <v>-0.86399999999999999</v>
      </c>
      <c r="KM38">
        <v>-2.7469999999999999</v>
      </c>
      <c r="KN38">
        <v>1.911</v>
      </c>
      <c r="KO38">
        <v>0.999</v>
      </c>
      <c r="KP38">
        <v>-1.0549999999999999</v>
      </c>
      <c r="KQ38">
        <v>-5.1159999999999997</v>
      </c>
      <c r="KR38">
        <v>-5.0289999999999999</v>
      </c>
    </row>
    <row r="39" spans="1:304" x14ac:dyDescent="0.25">
      <c r="A39">
        <v>2016</v>
      </c>
      <c r="B39">
        <v>12</v>
      </c>
      <c r="C39">
        <v>-3.101</v>
      </c>
      <c r="D39">
        <v>2.0609999999999999</v>
      </c>
      <c r="E39">
        <v>3.2850000000000001</v>
      </c>
      <c r="F39">
        <v>2.6240000000000001</v>
      </c>
      <c r="G39">
        <v>2.0129999999999999</v>
      </c>
      <c r="H39">
        <v>-3.254</v>
      </c>
      <c r="I39">
        <v>1.2290000000000001</v>
      </c>
      <c r="J39">
        <v>-5.7060000000000004</v>
      </c>
      <c r="K39">
        <v>-5.0510000000000002</v>
      </c>
      <c r="L39">
        <v>1.49</v>
      </c>
      <c r="M39">
        <v>3.9140000000000001</v>
      </c>
      <c r="N39">
        <v>0.56399999999999995</v>
      </c>
      <c r="O39">
        <v>3.79</v>
      </c>
      <c r="P39">
        <v>2.121</v>
      </c>
      <c r="Q39">
        <v>-3.89</v>
      </c>
      <c r="R39">
        <v>3.8570000000000002</v>
      </c>
      <c r="S39">
        <v>-7.2770000000000001</v>
      </c>
      <c r="T39">
        <v>-0.78700000000000003</v>
      </c>
      <c r="U39">
        <v>2.0569999999999999</v>
      </c>
      <c r="V39">
        <v>2.4790000000000001</v>
      </c>
      <c r="W39">
        <v>3.1509999999999998</v>
      </c>
      <c r="X39">
        <v>1.655</v>
      </c>
      <c r="Y39">
        <v>-2.8439999999999999</v>
      </c>
      <c r="Z39">
        <v>0.48099999999999998</v>
      </c>
      <c r="AA39">
        <v>2.794</v>
      </c>
      <c r="AB39">
        <v>1.831</v>
      </c>
      <c r="AC39">
        <v>3.3050000000000002</v>
      </c>
      <c r="AD39">
        <v>-6.0449999999999999</v>
      </c>
      <c r="AE39">
        <v>4.4029999999999996</v>
      </c>
      <c r="AF39">
        <v>-0.66500000000000004</v>
      </c>
      <c r="AG39">
        <v>1.9870000000000001</v>
      </c>
      <c r="AH39">
        <v>1.05</v>
      </c>
      <c r="AI39">
        <v>-1.25</v>
      </c>
      <c r="AJ39">
        <v>-1.331</v>
      </c>
      <c r="AK39">
        <v>2.0209999999999999</v>
      </c>
      <c r="AL39">
        <v>1.419</v>
      </c>
      <c r="AM39">
        <v>1.972</v>
      </c>
      <c r="AN39">
        <v>0.99</v>
      </c>
      <c r="AO39">
        <v>1.6579999999999999</v>
      </c>
      <c r="AP39">
        <v>3.6240000000000001</v>
      </c>
      <c r="AQ39">
        <v>2.4660000000000002</v>
      </c>
      <c r="AR39">
        <v>0.73799999999999999</v>
      </c>
      <c r="AS39">
        <v>3.7959999999999998</v>
      </c>
      <c r="AT39">
        <v>1.732</v>
      </c>
      <c r="AU39">
        <v>2.5529999999999999</v>
      </c>
      <c r="AV39">
        <v>-0.17</v>
      </c>
      <c r="AW39">
        <v>0.59</v>
      </c>
      <c r="AX39">
        <v>1.619</v>
      </c>
      <c r="AY39">
        <v>-2.8319999999999999</v>
      </c>
      <c r="AZ39">
        <v>0.84699999999999998</v>
      </c>
      <c r="BA39">
        <v>5.0069999999999997</v>
      </c>
      <c r="BB39">
        <v>1.4950000000000001</v>
      </c>
      <c r="BC39">
        <v>-6.61</v>
      </c>
      <c r="BD39">
        <v>1.042</v>
      </c>
      <c r="BE39">
        <v>2.0350000000000001</v>
      </c>
      <c r="BF39">
        <v>3.944</v>
      </c>
      <c r="BG39">
        <v>-4.6580000000000004</v>
      </c>
      <c r="BH39">
        <v>-0.17299999999999999</v>
      </c>
      <c r="BI39">
        <v>-6.8380000000000001</v>
      </c>
      <c r="BJ39">
        <v>1.4890000000000001</v>
      </c>
      <c r="BK39">
        <v>1.952</v>
      </c>
      <c r="BL39">
        <v>2.508</v>
      </c>
      <c r="BM39">
        <v>2.7290000000000001</v>
      </c>
      <c r="BN39">
        <v>2.3109999999999999</v>
      </c>
      <c r="BO39">
        <v>1.4239999999999999</v>
      </c>
      <c r="BP39">
        <v>-0.99</v>
      </c>
      <c r="BQ39">
        <v>1.657</v>
      </c>
      <c r="BR39">
        <v>8.7999999999999995E-2</v>
      </c>
      <c r="BS39">
        <v>1.028</v>
      </c>
      <c r="BT39">
        <v>2.3639999999999999</v>
      </c>
      <c r="BU39">
        <v>3.383</v>
      </c>
      <c r="BV39">
        <v>-0.70699999999999996</v>
      </c>
      <c r="BW39">
        <v>2.9630000000000001</v>
      </c>
      <c r="BX39">
        <v>0.40799999999999997</v>
      </c>
      <c r="BY39">
        <v>-2.9529999999999998</v>
      </c>
      <c r="BZ39">
        <v>4.2910000000000004</v>
      </c>
      <c r="CA39">
        <v>-4.0940000000000003</v>
      </c>
      <c r="CB39">
        <v>2.1269999999999998</v>
      </c>
      <c r="CC39">
        <v>3.1960000000000002</v>
      </c>
      <c r="CD39">
        <v>3.1920000000000002</v>
      </c>
      <c r="CE39">
        <v>2.0179999999999998</v>
      </c>
      <c r="CF39">
        <v>1.786</v>
      </c>
      <c r="CG39">
        <v>0.49199999999999999</v>
      </c>
      <c r="CH39">
        <v>1.6839999999999999</v>
      </c>
      <c r="CI39">
        <v>-3.802</v>
      </c>
      <c r="CJ39">
        <v>1.639</v>
      </c>
      <c r="CK39">
        <v>-5.9820000000000002</v>
      </c>
      <c r="CL39">
        <v>2.891</v>
      </c>
      <c r="CM39">
        <v>0.28199999999999997</v>
      </c>
      <c r="CN39">
        <v>2.202</v>
      </c>
      <c r="CO39">
        <v>4.3520000000000003</v>
      </c>
      <c r="CP39">
        <v>2.4750000000000001</v>
      </c>
      <c r="CQ39">
        <v>-7.5490000000000004</v>
      </c>
      <c r="CR39">
        <v>1.829</v>
      </c>
      <c r="CS39">
        <v>2.0289999999999999</v>
      </c>
      <c r="CT39">
        <v>2.069</v>
      </c>
      <c r="CU39">
        <v>-5.609</v>
      </c>
      <c r="CV39">
        <v>-6.4039999999999999</v>
      </c>
      <c r="CW39">
        <v>2.9369999999999998</v>
      </c>
      <c r="CX39">
        <v>-6.9980000000000002</v>
      </c>
      <c r="CY39">
        <v>2.7109999999999999</v>
      </c>
      <c r="CZ39">
        <v>3.0139999999999998</v>
      </c>
      <c r="DA39">
        <v>0.77</v>
      </c>
      <c r="DB39">
        <v>3.4020000000000001</v>
      </c>
      <c r="DC39">
        <v>1.599</v>
      </c>
      <c r="DD39">
        <v>4.0979999999999999</v>
      </c>
      <c r="DE39">
        <v>0.98699999999999999</v>
      </c>
      <c r="DF39">
        <v>2.5640000000000001</v>
      </c>
      <c r="DG39">
        <v>-5.7839999999999998</v>
      </c>
      <c r="DH39">
        <v>1.639</v>
      </c>
      <c r="DI39">
        <v>1.0669999999999999</v>
      </c>
      <c r="DJ39">
        <v>1.2869999999999999</v>
      </c>
      <c r="DK39">
        <v>4.3999999999999997E-2</v>
      </c>
      <c r="DL39">
        <v>-2.8849999999999998</v>
      </c>
      <c r="DM39">
        <v>3.464</v>
      </c>
      <c r="DN39">
        <v>1.748</v>
      </c>
      <c r="DO39">
        <v>3.508</v>
      </c>
      <c r="DP39">
        <v>1.365</v>
      </c>
      <c r="DQ39">
        <v>3.8359999999999999</v>
      </c>
      <c r="DR39">
        <v>1.8180000000000001</v>
      </c>
      <c r="DS39">
        <v>3.3690000000000002</v>
      </c>
      <c r="DT39">
        <v>1.627</v>
      </c>
      <c r="DU39">
        <v>-4.3440000000000003</v>
      </c>
      <c r="DV39">
        <v>4.4820000000000002</v>
      </c>
      <c r="DW39">
        <v>1.667</v>
      </c>
      <c r="DX39">
        <v>1.5569999999999999</v>
      </c>
      <c r="DY39">
        <v>-0.22500000000000001</v>
      </c>
      <c r="DZ39">
        <v>2.99</v>
      </c>
      <c r="EA39">
        <v>1.7529999999999999</v>
      </c>
      <c r="EB39">
        <v>1.9890000000000001</v>
      </c>
      <c r="EC39">
        <v>2.8109999999999999</v>
      </c>
      <c r="ED39">
        <v>3.036</v>
      </c>
      <c r="EE39">
        <v>0.98599999999999999</v>
      </c>
      <c r="EF39">
        <v>2.2639999999999998</v>
      </c>
      <c r="EG39">
        <v>2.2829999999999999</v>
      </c>
      <c r="EH39">
        <v>-2.6259999999999999</v>
      </c>
      <c r="EI39">
        <v>4.4020000000000001</v>
      </c>
      <c r="EJ39">
        <v>0.47599999999999998</v>
      </c>
      <c r="EK39">
        <v>-5.2329999999999997</v>
      </c>
      <c r="EL39">
        <v>4.0629999999999997</v>
      </c>
      <c r="EM39">
        <v>-5.6470000000000002</v>
      </c>
      <c r="EN39">
        <v>-5.4649999999999999</v>
      </c>
      <c r="EO39">
        <v>1.8979999999999999</v>
      </c>
      <c r="EP39">
        <v>4.5419999999999998</v>
      </c>
      <c r="EQ39">
        <v>4.3029999999999999</v>
      </c>
      <c r="ER39">
        <v>-1.595</v>
      </c>
      <c r="ES39">
        <v>2.9689999999999999</v>
      </c>
      <c r="ET39">
        <v>0.89100000000000001</v>
      </c>
      <c r="EU39">
        <v>3.1040000000000001</v>
      </c>
      <c r="EV39">
        <v>2.74</v>
      </c>
      <c r="EW39">
        <v>2.9910000000000001</v>
      </c>
      <c r="EX39">
        <v>2.4359999999999999</v>
      </c>
      <c r="EY39">
        <v>1.5669999999999999</v>
      </c>
      <c r="EZ39">
        <v>2.649</v>
      </c>
      <c r="FA39">
        <v>2.359</v>
      </c>
      <c r="FB39">
        <v>3.66</v>
      </c>
      <c r="FC39">
        <v>-0.50600000000000001</v>
      </c>
      <c r="FD39">
        <v>2.9060000000000001</v>
      </c>
      <c r="FE39">
        <v>2.0379999999999998</v>
      </c>
      <c r="FF39">
        <v>1.329</v>
      </c>
      <c r="FG39">
        <v>1.169</v>
      </c>
      <c r="FH39">
        <v>0.55200000000000005</v>
      </c>
      <c r="FI39">
        <v>-0.06</v>
      </c>
      <c r="FJ39">
        <v>-2.2349999999999999</v>
      </c>
      <c r="FK39">
        <v>1.9119999999999999</v>
      </c>
      <c r="FL39">
        <v>1.129</v>
      </c>
      <c r="FM39">
        <v>2.4060000000000001</v>
      </c>
      <c r="FN39">
        <v>-5.1630000000000003</v>
      </c>
      <c r="FO39">
        <v>1.8140000000000001</v>
      </c>
      <c r="FP39">
        <v>-0.17</v>
      </c>
      <c r="FQ39">
        <v>1.625</v>
      </c>
      <c r="FR39">
        <v>2.5870000000000002</v>
      </c>
      <c r="FS39">
        <v>-1.2290000000000001</v>
      </c>
      <c r="FT39">
        <v>3.76</v>
      </c>
      <c r="FU39">
        <v>2.609</v>
      </c>
      <c r="FV39">
        <v>2.4990000000000001</v>
      </c>
      <c r="FW39">
        <v>2.1259999999999999</v>
      </c>
      <c r="FX39">
        <v>-7.6280000000000001</v>
      </c>
      <c r="FY39">
        <v>3.35</v>
      </c>
      <c r="FZ39">
        <v>2.903</v>
      </c>
      <c r="GA39">
        <v>-0.52700000000000002</v>
      </c>
      <c r="GB39">
        <v>-3.0449999999999999</v>
      </c>
      <c r="GC39">
        <v>-2.7949999999999999</v>
      </c>
      <c r="GD39">
        <v>-4.4379999999999997</v>
      </c>
      <c r="GE39">
        <v>2.3220000000000001</v>
      </c>
      <c r="GF39">
        <v>0.51900000000000002</v>
      </c>
      <c r="GG39">
        <v>-2.3149999999999999</v>
      </c>
      <c r="GH39">
        <v>1.4450000000000001</v>
      </c>
      <c r="GI39">
        <v>1.319</v>
      </c>
      <c r="GJ39">
        <v>4.3129999999999997</v>
      </c>
      <c r="GK39">
        <v>3.4220000000000002</v>
      </c>
      <c r="GL39">
        <v>2.1789999999999998</v>
      </c>
      <c r="GM39">
        <v>-3.0840000000000001</v>
      </c>
      <c r="GN39">
        <v>2.0920000000000001</v>
      </c>
      <c r="GO39">
        <v>3.847</v>
      </c>
      <c r="GP39">
        <v>0.76100000000000001</v>
      </c>
      <c r="GQ39">
        <v>1.33</v>
      </c>
      <c r="GR39">
        <v>1.7270000000000001</v>
      </c>
      <c r="GS39">
        <v>-4.4589999999999996</v>
      </c>
      <c r="GT39">
        <v>1.8919999999999999</v>
      </c>
      <c r="GU39">
        <v>3.5390000000000001</v>
      </c>
      <c r="GV39">
        <v>-6.2080000000000002</v>
      </c>
      <c r="GW39">
        <v>4.8689999999999998</v>
      </c>
      <c r="GX39">
        <v>4.0599999999999996</v>
      </c>
      <c r="GY39">
        <v>2.1139999999999999</v>
      </c>
      <c r="GZ39">
        <v>3.6240000000000001</v>
      </c>
      <c r="HA39">
        <v>2.0270000000000001</v>
      </c>
      <c r="HB39">
        <v>0.29699999999999999</v>
      </c>
      <c r="HC39">
        <v>-1.04</v>
      </c>
      <c r="HD39">
        <v>-5.5389999999999997</v>
      </c>
      <c r="HE39">
        <v>1.488</v>
      </c>
      <c r="HF39">
        <v>3.552</v>
      </c>
      <c r="HG39">
        <v>-3.754</v>
      </c>
      <c r="HH39">
        <v>2.0739999999999998</v>
      </c>
      <c r="HI39">
        <v>-0.74099999999999999</v>
      </c>
      <c r="HJ39">
        <v>0.37</v>
      </c>
      <c r="HK39">
        <v>0.86899999999999999</v>
      </c>
      <c r="HL39">
        <v>3.7930000000000001</v>
      </c>
      <c r="HM39">
        <v>4.0350000000000001</v>
      </c>
      <c r="HN39">
        <v>-3.0619999999999998</v>
      </c>
      <c r="HO39">
        <v>2.0219999999999998</v>
      </c>
      <c r="HP39">
        <v>-5.0880000000000001</v>
      </c>
      <c r="HQ39">
        <v>3.1469999999999998</v>
      </c>
      <c r="HR39">
        <v>1.8660000000000001</v>
      </c>
      <c r="HS39">
        <v>0.81499999999999995</v>
      </c>
      <c r="HT39">
        <v>2.9620000000000002</v>
      </c>
      <c r="HU39">
        <v>0.45300000000000001</v>
      </c>
      <c r="HV39">
        <v>0.64900000000000002</v>
      </c>
      <c r="HW39">
        <v>0.74</v>
      </c>
      <c r="HX39">
        <v>2.101</v>
      </c>
      <c r="HY39">
        <v>2.0979999999999999</v>
      </c>
      <c r="HZ39">
        <v>-2.59</v>
      </c>
      <c r="IA39">
        <v>0.439</v>
      </c>
      <c r="IB39">
        <v>2.4049999999999998</v>
      </c>
      <c r="IC39">
        <v>1.925</v>
      </c>
      <c r="ID39">
        <v>0.57699999999999996</v>
      </c>
      <c r="IE39">
        <v>-1.8959999999999999</v>
      </c>
      <c r="IF39">
        <v>2.1789999999999998</v>
      </c>
      <c r="IG39">
        <v>4.726</v>
      </c>
      <c r="IH39">
        <v>2.8679999999999999</v>
      </c>
      <c r="II39">
        <v>2.2080000000000002</v>
      </c>
      <c r="IJ39">
        <v>1.8939999999999999</v>
      </c>
      <c r="IK39">
        <v>-0.64500000000000002</v>
      </c>
      <c r="IL39">
        <v>1.853</v>
      </c>
      <c r="IM39">
        <v>4.5910000000000002</v>
      </c>
      <c r="IN39">
        <v>2.8740000000000001</v>
      </c>
      <c r="IO39">
        <v>1.8080000000000001</v>
      </c>
      <c r="IP39">
        <v>-2.0379999999999998</v>
      </c>
      <c r="IQ39">
        <v>1.84</v>
      </c>
      <c r="IR39">
        <v>3.2759999999999998</v>
      </c>
      <c r="IS39">
        <v>3.4119999999999999</v>
      </c>
      <c r="IT39">
        <v>1.931</v>
      </c>
      <c r="IU39">
        <v>3.274</v>
      </c>
      <c r="IV39">
        <v>2.758</v>
      </c>
      <c r="IW39">
        <v>1.5129999999999999</v>
      </c>
      <c r="IX39">
        <v>-2.665</v>
      </c>
      <c r="IY39">
        <v>1.647</v>
      </c>
      <c r="IZ39">
        <v>1.623</v>
      </c>
      <c r="JA39">
        <v>2.8170000000000002</v>
      </c>
      <c r="JB39">
        <v>1.623</v>
      </c>
      <c r="JC39">
        <v>2.198</v>
      </c>
      <c r="JD39">
        <v>1.1739999999999999</v>
      </c>
      <c r="JE39">
        <v>-0.93799999999999994</v>
      </c>
      <c r="JF39">
        <v>2.5070000000000001</v>
      </c>
      <c r="JG39">
        <v>4.0439999999999996</v>
      </c>
      <c r="JH39">
        <v>1.4850000000000001</v>
      </c>
      <c r="JI39">
        <v>-6.7809999999999997</v>
      </c>
      <c r="JJ39">
        <v>1.633</v>
      </c>
      <c r="JK39">
        <v>-5.2640000000000002</v>
      </c>
      <c r="JL39">
        <v>1.673</v>
      </c>
      <c r="JM39">
        <v>3.089</v>
      </c>
      <c r="JN39">
        <v>2.2759999999999998</v>
      </c>
      <c r="JO39">
        <v>2.8759999999999999</v>
      </c>
      <c r="JP39">
        <v>-3.5289999999999999</v>
      </c>
      <c r="JQ39">
        <v>1.929</v>
      </c>
      <c r="JR39">
        <v>2.0409999999999999</v>
      </c>
      <c r="JS39">
        <v>2.5790000000000002</v>
      </c>
      <c r="JT39">
        <v>1.329</v>
      </c>
      <c r="JU39">
        <v>1.9319999999999999</v>
      </c>
      <c r="JV39">
        <v>1.526</v>
      </c>
      <c r="JW39">
        <v>4.202</v>
      </c>
      <c r="JX39">
        <v>2.6949999999999998</v>
      </c>
      <c r="JY39">
        <v>3.85</v>
      </c>
      <c r="JZ39">
        <v>1.669</v>
      </c>
      <c r="KA39">
        <v>-1.0649999999999999</v>
      </c>
      <c r="KB39">
        <v>0.45200000000000001</v>
      </c>
      <c r="KC39">
        <v>1.73</v>
      </c>
      <c r="KD39">
        <v>2.3340000000000001</v>
      </c>
      <c r="KE39">
        <v>-2.839</v>
      </c>
      <c r="KF39">
        <v>-6.6319999999999997</v>
      </c>
      <c r="KG39">
        <v>1.5489999999999999</v>
      </c>
      <c r="KH39">
        <v>2.1160000000000001</v>
      </c>
      <c r="KI39">
        <v>0.51100000000000001</v>
      </c>
      <c r="KJ39">
        <v>1.9219999999999999</v>
      </c>
      <c r="KK39">
        <v>3.0190000000000001</v>
      </c>
      <c r="KL39">
        <v>-2.202</v>
      </c>
      <c r="KM39">
        <v>-1.478</v>
      </c>
      <c r="KN39">
        <v>1.8580000000000001</v>
      </c>
      <c r="KO39">
        <v>0.92800000000000005</v>
      </c>
      <c r="KP39">
        <v>-1.4319999999999999</v>
      </c>
      <c r="KQ39">
        <v>-8.4529999999999994</v>
      </c>
      <c r="KR39">
        <v>-7.726</v>
      </c>
    </row>
    <row r="40" spans="1:304" x14ac:dyDescent="0.25">
      <c r="A40">
        <v>2017</v>
      </c>
      <c r="B40">
        <v>1</v>
      </c>
      <c r="C40">
        <v>-6.5149999999999997</v>
      </c>
      <c r="D40">
        <v>-0.68500000000000005</v>
      </c>
      <c r="E40">
        <v>0.255</v>
      </c>
      <c r="F40">
        <v>-0.33400000000000002</v>
      </c>
      <c r="G40">
        <v>-1.4159999999999999</v>
      </c>
      <c r="H40">
        <v>-1.3979999999999999</v>
      </c>
      <c r="I40">
        <v>-7.81</v>
      </c>
      <c r="J40">
        <v>-6.6849999999999996</v>
      </c>
      <c r="K40">
        <v>-2.3740000000000001</v>
      </c>
      <c r="L40">
        <v>-1.153</v>
      </c>
      <c r="M40">
        <v>-3.355</v>
      </c>
      <c r="N40">
        <v>-0.69799999999999995</v>
      </c>
      <c r="O40">
        <v>-5.3810000000000002</v>
      </c>
      <c r="P40">
        <v>0.30199999999999999</v>
      </c>
      <c r="Q40">
        <v>-7.3719999999999999</v>
      </c>
      <c r="R40">
        <v>-0.67600000000000005</v>
      </c>
      <c r="S40">
        <v>-4.5339999999999998</v>
      </c>
      <c r="T40">
        <v>-1.4999999999999999E-2</v>
      </c>
      <c r="U40">
        <v>-3.48</v>
      </c>
      <c r="V40">
        <v>-1.0660000000000001</v>
      </c>
      <c r="W40">
        <v>-0.99299999999999999</v>
      </c>
      <c r="X40">
        <v>-0.48299999999999998</v>
      </c>
      <c r="Y40">
        <v>8.0000000000000002E-3</v>
      </c>
      <c r="Z40">
        <v>-5.3369999999999997</v>
      </c>
      <c r="AA40">
        <v>0.81399999999999995</v>
      </c>
      <c r="AB40">
        <v>0.38100000000000001</v>
      </c>
      <c r="AC40">
        <v>-3.2610000000000001</v>
      </c>
      <c r="AD40">
        <v>-0.73499999999999999</v>
      </c>
      <c r="AE40">
        <v>-0.627</v>
      </c>
      <c r="AF40">
        <v>-1.758</v>
      </c>
      <c r="AG40">
        <v>-4.8410000000000002</v>
      </c>
      <c r="AH40">
        <v>-6.7489999999999997</v>
      </c>
      <c r="AI40">
        <v>-5.1449999999999996</v>
      </c>
      <c r="AJ40">
        <v>-1.7290000000000001</v>
      </c>
      <c r="AK40">
        <v>-1.218</v>
      </c>
      <c r="AL40">
        <v>-1.6819999999999999</v>
      </c>
      <c r="AM40">
        <v>-1.3169999999999999</v>
      </c>
      <c r="AN40">
        <v>0.19700000000000001</v>
      </c>
      <c r="AO40">
        <v>-0.374</v>
      </c>
      <c r="AP40">
        <v>-3.242</v>
      </c>
      <c r="AQ40">
        <v>0.57199999999999995</v>
      </c>
      <c r="AR40">
        <v>-1.1479999999999999</v>
      </c>
      <c r="AS40">
        <v>1.63</v>
      </c>
      <c r="AT40">
        <v>-3.8860000000000001</v>
      </c>
      <c r="AU40">
        <v>-2.99</v>
      </c>
      <c r="AV40">
        <v>-2.04</v>
      </c>
      <c r="AW40">
        <v>-1.165</v>
      </c>
      <c r="AX40">
        <v>-1.5169999999999999</v>
      </c>
      <c r="AY40">
        <v>-1.9039999999999999</v>
      </c>
      <c r="AZ40">
        <v>-5.7990000000000004</v>
      </c>
      <c r="BA40">
        <v>-0.25800000000000001</v>
      </c>
      <c r="BB40">
        <v>-4.2409999999999997</v>
      </c>
      <c r="BC40">
        <v>-3.9740000000000002</v>
      </c>
      <c r="BD40">
        <v>-1.2869999999999999</v>
      </c>
      <c r="BE40">
        <v>-1.4</v>
      </c>
      <c r="BF40">
        <v>-8.1000000000000003E-2</v>
      </c>
      <c r="BG40">
        <v>-7.242</v>
      </c>
      <c r="BH40">
        <v>-9.1059999999999999</v>
      </c>
      <c r="BI40">
        <v>-2.153</v>
      </c>
      <c r="BJ40">
        <v>0.874</v>
      </c>
      <c r="BK40">
        <v>-0.16300000000000001</v>
      </c>
      <c r="BL40">
        <v>-1.1970000000000001</v>
      </c>
      <c r="BM40">
        <v>-4.3760000000000003</v>
      </c>
      <c r="BN40">
        <v>-1.2569999999999999</v>
      </c>
      <c r="BO40">
        <v>-2.0299999999999998</v>
      </c>
      <c r="BP40">
        <v>0.34399999999999997</v>
      </c>
      <c r="BQ40">
        <v>-5.4880000000000004</v>
      </c>
      <c r="BR40">
        <v>-0.44600000000000001</v>
      </c>
      <c r="BS40">
        <v>-0.86599999999999999</v>
      </c>
      <c r="BT40">
        <v>-7.0650000000000004</v>
      </c>
      <c r="BU40">
        <v>-5.883</v>
      </c>
      <c r="BV40">
        <v>-3.6859999999999999</v>
      </c>
      <c r="BW40">
        <v>0.72</v>
      </c>
      <c r="BX40">
        <v>-5.5330000000000004</v>
      </c>
      <c r="BY40">
        <v>6.7000000000000004E-2</v>
      </c>
      <c r="BZ40">
        <v>-0.70499999999999996</v>
      </c>
      <c r="CA40">
        <v>4.4999999999999998E-2</v>
      </c>
      <c r="CB40">
        <v>-3.32</v>
      </c>
      <c r="CC40">
        <v>-0.745</v>
      </c>
      <c r="CD40">
        <v>-0.81299999999999994</v>
      </c>
      <c r="CE40">
        <v>-2.8330000000000002</v>
      </c>
      <c r="CF40">
        <v>-1.2849999999999999</v>
      </c>
      <c r="CG40">
        <v>-0.88300000000000001</v>
      </c>
      <c r="CH40">
        <v>-2.8809999999999998</v>
      </c>
      <c r="CI40">
        <v>-2.7669999999999999</v>
      </c>
      <c r="CJ40">
        <v>0.26500000000000001</v>
      </c>
      <c r="CK40">
        <v>-0.40300000000000002</v>
      </c>
      <c r="CL40">
        <v>0.95499999999999996</v>
      </c>
      <c r="CM40">
        <v>-0.995</v>
      </c>
      <c r="CN40">
        <v>-0.28199999999999997</v>
      </c>
      <c r="CO40">
        <v>-0.223</v>
      </c>
      <c r="CP40">
        <v>-8.5730000000000004</v>
      </c>
      <c r="CQ40">
        <v>-6.7789999999999999</v>
      </c>
      <c r="CR40">
        <v>-0.66900000000000004</v>
      </c>
      <c r="CS40">
        <v>-1.171</v>
      </c>
      <c r="CT40">
        <v>-7.6369999999999996</v>
      </c>
      <c r="CU40">
        <v>-0.41799999999999998</v>
      </c>
      <c r="CV40">
        <v>-9.5340000000000007</v>
      </c>
      <c r="CW40">
        <v>-0.06</v>
      </c>
      <c r="CX40">
        <v>-0.16900000000000001</v>
      </c>
      <c r="CY40">
        <v>-2.0419999999999998</v>
      </c>
      <c r="CZ40">
        <v>0.14899999999999999</v>
      </c>
      <c r="DA40">
        <v>-0.97399999999999998</v>
      </c>
      <c r="DB40">
        <v>-1.3779999999999999</v>
      </c>
      <c r="DC40">
        <v>-1.82</v>
      </c>
      <c r="DD40">
        <v>-0.57399999999999995</v>
      </c>
      <c r="DE40">
        <v>-8.33</v>
      </c>
      <c r="DF40">
        <v>-1.4750000000000001</v>
      </c>
      <c r="DG40">
        <v>-0.125</v>
      </c>
      <c r="DH40">
        <v>-1.4510000000000001</v>
      </c>
      <c r="DI40">
        <v>-3.1619999999999999</v>
      </c>
      <c r="DJ40">
        <v>-4.5549999999999997</v>
      </c>
      <c r="DK40">
        <v>3.5999999999999997E-2</v>
      </c>
      <c r="DL40">
        <v>-1.29</v>
      </c>
      <c r="DM40">
        <v>-1.1839999999999999</v>
      </c>
      <c r="DN40">
        <v>0.61299999999999999</v>
      </c>
      <c r="DO40">
        <v>-1.387</v>
      </c>
      <c r="DP40">
        <v>0.48299999999999998</v>
      </c>
      <c r="DQ40">
        <v>-8.32</v>
      </c>
      <c r="DR40">
        <v>0.59299999999999997</v>
      </c>
      <c r="DS40">
        <v>-1.772</v>
      </c>
      <c r="DT40">
        <v>4.4999999999999998E-2</v>
      </c>
      <c r="DU40">
        <v>0.90100000000000002</v>
      </c>
      <c r="DV40">
        <v>-1.161</v>
      </c>
      <c r="DW40">
        <v>-1.34</v>
      </c>
      <c r="DX40">
        <v>-4.1749999999999998</v>
      </c>
      <c r="DY40">
        <v>-9.8000000000000004E-2</v>
      </c>
      <c r="DZ40">
        <v>-1.427</v>
      </c>
      <c r="EA40">
        <v>-0.56299999999999994</v>
      </c>
      <c r="EB40">
        <v>0.11600000000000001</v>
      </c>
      <c r="EC40">
        <v>-1.7999999999999999E-2</v>
      </c>
      <c r="ED40">
        <v>-2.1840000000000002</v>
      </c>
      <c r="EE40">
        <v>-0.61</v>
      </c>
      <c r="EF40">
        <v>-1.1080000000000001</v>
      </c>
      <c r="EG40">
        <v>-6.5609999999999999</v>
      </c>
      <c r="EH40">
        <v>0.83</v>
      </c>
      <c r="EI40">
        <v>-2.9249999999999998</v>
      </c>
      <c r="EJ40">
        <v>-5.8860000000000001</v>
      </c>
      <c r="EK40">
        <v>0.54400000000000004</v>
      </c>
      <c r="EL40">
        <v>-6.4470000000000001</v>
      </c>
      <c r="EM40">
        <v>1.216</v>
      </c>
      <c r="EN40">
        <v>-1.212</v>
      </c>
      <c r="EO40">
        <v>0.93500000000000005</v>
      </c>
      <c r="EP40">
        <v>-6.0629999999999997</v>
      </c>
      <c r="EQ40">
        <v>-6.931</v>
      </c>
      <c r="ER40">
        <v>0.217</v>
      </c>
      <c r="ES40">
        <v>-0.72199999999999998</v>
      </c>
      <c r="ET40">
        <v>0.38200000000000001</v>
      </c>
      <c r="EU40">
        <v>-0.61699999999999999</v>
      </c>
      <c r="EV40">
        <v>-5.556</v>
      </c>
      <c r="EW40">
        <v>-0.40600000000000003</v>
      </c>
      <c r="EX40">
        <v>4.8000000000000001E-2</v>
      </c>
      <c r="EY40">
        <v>-2.9940000000000002</v>
      </c>
      <c r="EZ40">
        <v>-1.621</v>
      </c>
      <c r="FA40">
        <v>0.55200000000000005</v>
      </c>
      <c r="FB40">
        <v>-0.43099999999999999</v>
      </c>
      <c r="FC40">
        <v>-0.27400000000000002</v>
      </c>
      <c r="FD40">
        <v>-0.51400000000000001</v>
      </c>
      <c r="FE40">
        <v>-1.9159999999999999</v>
      </c>
      <c r="FF40">
        <v>-3.3170000000000002</v>
      </c>
      <c r="FG40">
        <v>-3.1360000000000001</v>
      </c>
      <c r="FH40">
        <v>-3.8519999999999999</v>
      </c>
      <c r="FI40">
        <v>-0.86199999999999999</v>
      </c>
      <c r="FJ40">
        <v>-1.254</v>
      </c>
      <c r="FK40">
        <v>-6.5190000000000001</v>
      </c>
      <c r="FL40">
        <v>-0.91</v>
      </c>
      <c r="FM40">
        <v>-1.2230000000000001</v>
      </c>
      <c r="FN40">
        <v>-0.998</v>
      </c>
      <c r="FO40">
        <v>-0.31</v>
      </c>
      <c r="FP40">
        <v>-1.7789999999999999</v>
      </c>
      <c r="FQ40">
        <v>-3.0830000000000002</v>
      </c>
      <c r="FR40">
        <v>-0.71</v>
      </c>
      <c r="FS40">
        <v>-6.3810000000000002</v>
      </c>
      <c r="FT40">
        <v>0.624</v>
      </c>
      <c r="FU40">
        <v>-0.68700000000000006</v>
      </c>
      <c r="FV40">
        <v>-0.57399999999999995</v>
      </c>
      <c r="FW40">
        <v>-0.55900000000000005</v>
      </c>
      <c r="FX40">
        <v>-9.0890000000000004</v>
      </c>
      <c r="FY40">
        <v>0.29099999999999998</v>
      </c>
      <c r="FZ40">
        <v>-4.9800000000000004</v>
      </c>
      <c r="GA40">
        <v>-6.3010000000000002</v>
      </c>
      <c r="GB40">
        <v>-4.33</v>
      </c>
      <c r="GC40">
        <v>-1.2999999999999999E-2</v>
      </c>
      <c r="GD40">
        <v>-4.7350000000000003</v>
      </c>
      <c r="GE40">
        <v>-2.4900000000000002</v>
      </c>
      <c r="GF40">
        <v>-0.88400000000000001</v>
      </c>
      <c r="GG40">
        <v>-2.6349999999999998</v>
      </c>
      <c r="GH40">
        <v>-1.2629999999999999</v>
      </c>
      <c r="GI40">
        <v>0.96099999999999997</v>
      </c>
      <c r="GJ40">
        <v>-0.125</v>
      </c>
      <c r="GK40">
        <v>-0.53800000000000003</v>
      </c>
      <c r="GL40">
        <v>-4.4960000000000004</v>
      </c>
      <c r="GM40">
        <v>-2.7370000000000001</v>
      </c>
      <c r="GN40">
        <v>0.31900000000000001</v>
      </c>
      <c r="GO40">
        <v>-1.6559999999999999</v>
      </c>
      <c r="GP40">
        <v>-0.73899999999999999</v>
      </c>
      <c r="GQ40">
        <v>-3.03</v>
      </c>
      <c r="GR40">
        <v>-5.673</v>
      </c>
      <c r="GS40">
        <v>-0.77600000000000002</v>
      </c>
      <c r="GT40">
        <v>-0.56100000000000005</v>
      </c>
      <c r="GU40">
        <v>-7.6449999999999996</v>
      </c>
      <c r="GV40">
        <v>1.891</v>
      </c>
      <c r="GW40">
        <v>0.503</v>
      </c>
      <c r="GX40">
        <v>0.46700000000000003</v>
      </c>
      <c r="GY40">
        <v>-0.60599999999999998</v>
      </c>
      <c r="GZ40">
        <v>-0.57199999999999995</v>
      </c>
      <c r="HA40">
        <v>-2.407</v>
      </c>
      <c r="HB40">
        <v>-2.323</v>
      </c>
      <c r="HC40">
        <v>-6.7469999999999999</v>
      </c>
      <c r="HD40">
        <v>-1.387</v>
      </c>
      <c r="HE40">
        <v>0.97199999999999998</v>
      </c>
      <c r="HF40">
        <v>-4.875</v>
      </c>
      <c r="HG40">
        <v>-0.60199999999999998</v>
      </c>
      <c r="HH40">
        <v>-4.0940000000000003</v>
      </c>
      <c r="HI40">
        <v>-2.5030000000000001</v>
      </c>
      <c r="HJ40">
        <v>-2.278</v>
      </c>
      <c r="HK40">
        <v>0.28999999999999998</v>
      </c>
      <c r="HL40">
        <v>0.42699999999999999</v>
      </c>
      <c r="HM40">
        <v>-6.7720000000000002</v>
      </c>
      <c r="HN40">
        <v>-1.1679999999999999</v>
      </c>
      <c r="HO40">
        <v>-4.6790000000000003</v>
      </c>
      <c r="HP40">
        <v>0.247</v>
      </c>
      <c r="HQ40">
        <v>-0.57299999999999995</v>
      </c>
      <c r="HR40">
        <v>-6.29</v>
      </c>
      <c r="HS40">
        <v>-9.8469999999999995</v>
      </c>
      <c r="HT40">
        <v>-3.5350000000000001</v>
      </c>
      <c r="HU40">
        <v>-1.7809999999999999</v>
      </c>
      <c r="HV40">
        <v>-2.4049999999999998</v>
      </c>
      <c r="HW40">
        <v>-0.75800000000000001</v>
      </c>
      <c r="HX40">
        <v>-1.048</v>
      </c>
      <c r="HY40">
        <v>0.27500000000000002</v>
      </c>
      <c r="HZ40">
        <v>0.54600000000000004</v>
      </c>
      <c r="IA40">
        <v>-0.47099999999999997</v>
      </c>
      <c r="IB40">
        <v>-1.008</v>
      </c>
      <c r="IC40">
        <v>-2.181</v>
      </c>
      <c r="ID40">
        <v>-5.306</v>
      </c>
      <c r="IE40">
        <v>-1.04</v>
      </c>
      <c r="IF40">
        <v>1.5580000000000001</v>
      </c>
      <c r="IG40">
        <v>-7.9000000000000001E-2</v>
      </c>
      <c r="IH40">
        <v>-3.931</v>
      </c>
      <c r="II40">
        <v>-0.49299999999999999</v>
      </c>
      <c r="IJ40">
        <v>-1.37</v>
      </c>
      <c r="IK40">
        <v>-1.25</v>
      </c>
      <c r="IL40">
        <v>1.0960000000000001</v>
      </c>
      <c r="IM40">
        <v>-0.10100000000000001</v>
      </c>
      <c r="IN40">
        <v>-0.878</v>
      </c>
      <c r="IO40">
        <v>-0.52300000000000002</v>
      </c>
      <c r="IP40">
        <v>-0.76600000000000001</v>
      </c>
      <c r="IQ40">
        <v>-5.1180000000000003</v>
      </c>
      <c r="IR40">
        <v>-2.4430000000000001</v>
      </c>
      <c r="IS40">
        <v>-0.55800000000000005</v>
      </c>
      <c r="IT40">
        <v>0.27900000000000003</v>
      </c>
      <c r="IU40">
        <v>-0.54600000000000004</v>
      </c>
      <c r="IV40">
        <v>-1.6439999999999999</v>
      </c>
      <c r="IW40">
        <v>-4.226</v>
      </c>
      <c r="IX40">
        <v>-1.0009999999999999</v>
      </c>
      <c r="IY40">
        <v>-1.0129999999999999</v>
      </c>
      <c r="IZ40">
        <v>-1.5780000000000001</v>
      </c>
      <c r="JA40">
        <v>-4.8000000000000001E-2</v>
      </c>
      <c r="JB40">
        <v>-1.59</v>
      </c>
      <c r="JC40">
        <v>-0.78800000000000003</v>
      </c>
      <c r="JD40">
        <v>-1.34</v>
      </c>
      <c r="JE40">
        <v>-5.0919999999999996</v>
      </c>
      <c r="JF40">
        <v>-0.27</v>
      </c>
      <c r="JG40">
        <v>0.75900000000000001</v>
      </c>
      <c r="JH40">
        <v>-1.7</v>
      </c>
      <c r="JI40">
        <v>-7.1959999999999997</v>
      </c>
      <c r="JJ40">
        <v>-1.4590000000000001</v>
      </c>
      <c r="JK40">
        <v>-6.4790000000000001</v>
      </c>
      <c r="JL40">
        <v>-1.3129999999999999</v>
      </c>
      <c r="JM40">
        <v>0.36799999999999999</v>
      </c>
      <c r="JN40">
        <v>-0.58299999999999996</v>
      </c>
      <c r="JO40">
        <v>-4.2000000000000003E-2</v>
      </c>
      <c r="JP40">
        <v>-5.22</v>
      </c>
      <c r="JQ40">
        <v>-0.439</v>
      </c>
      <c r="JR40">
        <v>-1.274</v>
      </c>
      <c r="JS40">
        <v>-0.42799999999999999</v>
      </c>
      <c r="JT40">
        <v>-1.611</v>
      </c>
      <c r="JU40">
        <v>-1.4279999999999999</v>
      </c>
      <c r="JV40">
        <v>-1.6539999999999999</v>
      </c>
      <c r="JW40">
        <v>0.751</v>
      </c>
      <c r="JX40">
        <v>-0.185</v>
      </c>
      <c r="JY40">
        <v>-6.3579999999999997</v>
      </c>
      <c r="JZ40">
        <v>-2.5579999999999998</v>
      </c>
      <c r="KA40">
        <v>-1.5920000000000001</v>
      </c>
      <c r="KB40">
        <v>-1.7729999999999999</v>
      </c>
      <c r="KC40">
        <v>-1.1779999999999999</v>
      </c>
      <c r="KD40">
        <v>-1.0029999999999999</v>
      </c>
      <c r="KE40">
        <v>-7.7190000000000003</v>
      </c>
      <c r="KF40">
        <v>-6.5990000000000002</v>
      </c>
      <c r="KG40">
        <v>0.33800000000000002</v>
      </c>
      <c r="KH40">
        <v>1.8680000000000001</v>
      </c>
      <c r="KI40">
        <v>-0.16600000000000001</v>
      </c>
      <c r="KJ40">
        <v>-1.1200000000000001</v>
      </c>
      <c r="KK40">
        <v>-0.443</v>
      </c>
      <c r="KL40">
        <v>-3.7589999999999999</v>
      </c>
      <c r="KM40">
        <v>-3.3239999999999998</v>
      </c>
      <c r="KN40">
        <v>-0.56499999999999995</v>
      </c>
      <c r="KO40">
        <v>-1.627</v>
      </c>
      <c r="KP40">
        <v>-4.96</v>
      </c>
      <c r="KQ40">
        <v>-9.3339999999999996</v>
      </c>
      <c r="KR40">
        <v>-9.0229999999999997</v>
      </c>
    </row>
    <row r="41" spans="1:304" x14ac:dyDescent="0.25">
      <c r="A41">
        <v>2017</v>
      </c>
      <c r="B41">
        <v>2</v>
      </c>
      <c r="C41">
        <v>-9.2520000000000007</v>
      </c>
      <c r="D41">
        <v>-0.50700000000000001</v>
      </c>
      <c r="E41">
        <v>0.69</v>
      </c>
      <c r="F41">
        <v>0.32100000000000001</v>
      </c>
      <c r="G41">
        <v>0.22</v>
      </c>
      <c r="H41">
        <v>-1.026</v>
      </c>
      <c r="I41">
        <v>-7.81</v>
      </c>
      <c r="J41">
        <v>-7.4359999999999999</v>
      </c>
      <c r="K41">
        <v>-1.93</v>
      </c>
      <c r="L41">
        <v>-0.91</v>
      </c>
      <c r="M41">
        <v>-1.94</v>
      </c>
      <c r="N41">
        <v>-0.97799999999999998</v>
      </c>
      <c r="O41">
        <v>-5.8</v>
      </c>
      <c r="P41">
        <v>1.3520000000000001</v>
      </c>
      <c r="Q41">
        <v>-7.6630000000000003</v>
      </c>
      <c r="R41">
        <v>0.115</v>
      </c>
      <c r="S41">
        <v>-2.431</v>
      </c>
      <c r="T41">
        <v>1.6279999999999999</v>
      </c>
      <c r="U41">
        <v>-2.153</v>
      </c>
      <c r="V41">
        <v>-0.21299999999999999</v>
      </c>
      <c r="W41">
        <v>-0.38300000000000001</v>
      </c>
      <c r="X41">
        <v>1.073</v>
      </c>
      <c r="Y41">
        <v>1.506</v>
      </c>
      <c r="Z41">
        <v>-5.4240000000000004</v>
      </c>
      <c r="AA41">
        <v>1.6779999999999999</v>
      </c>
      <c r="AB41">
        <v>1.018</v>
      </c>
      <c r="AC41">
        <v>-2.3439999999999999</v>
      </c>
      <c r="AD41">
        <v>-0.94099999999999995</v>
      </c>
      <c r="AE41">
        <v>-0.25800000000000001</v>
      </c>
      <c r="AF41">
        <v>-1.6359999999999999</v>
      </c>
      <c r="AG41">
        <v>-2.9449999999999998</v>
      </c>
      <c r="AH41">
        <v>-6.234</v>
      </c>
      <c r="AI41">
        <v>-3</v>
      </c>
      <c r="AJ41">
        <v>-0.499</v>
      </c>
      <c r="AK41">
        <v>0.51600000000000001</v>
      </c>
      <c r="AL41">
        <v>-1.3680000000000001</v>
      </c>
      <c r="AM41">
        <v>-1.0860000000000001</v>
      </c>
      <c r="AN41">
        <v>1.2010000000000001</v>
      </c>
      <c r="AO41">
        <v>0.219</v>
      </c>
      <c r="AP41">
        <v>-2.121</v>
      </c>
      <c r="AQ41">
        <v>0.84199999999999997</v>
      </c>
      <c r="AR41">
        <v>-0.34300000000000003</v>
      </c>
      <c r="AS41">
        <v>2.0710000000000002</v>
      </c>
      <c r="AT41">
        <v>-2.2200000000000002</v>
      </c>
      <c r="AU41">
        <v>-2.7789999999999999</v>
      </c>
      <c r="AV41">
        <v>-1.2989999999999999</v>
      </c>
      <c r="AW41">
        <v>-0.40799999999999997</v>
      </c>
      <c r="AX41">
        <v>-0.85799999999999998</v>
      </c>
      <c r="AY41">
        <v>-1.754</v>
      </c>
      <c r="AZ41">
        <v>-6.149</v>
      </c>
      <c r="BA41">
        <v>-0.105</v>
      </c>
      <c r="BB41">
        <v>-5.3959999999999999</v>
      </c>
      <c r="BC41">
        <v>-2.7</v>
      </c>
      <c r="BD41">
        <v>-5.3999999999999999E-2</v>
      </c>
      <c r="BE41">
        <v>-0.77</v>
      </c>
      <c r="BF41">
        <v>0.29699999999999999</v>
      </c>
      <c r="BG41">
        <v>-7.0430000000000001</v>
      </c>
      <c r="BH41">
        <v>-9.3460000000000001</v>
      </c>
      <c r="BI41">
        <v>-1.133</v>
      </c>
      <c r="BJ41">
        <v>0.94899999999999995</v>
      </c>
      <c r="BK41">
        <v>0.14000000000000001</v>
      </c>
      <c r="BL41">
        <v>-1.075</v>
      </c>
      <c r="BM41">
        <v>-2.988</v>
      </c>
      <c r="BN41">
        <v>-0.91400000000000003</v>
      </c>
      <c r="BO41">
        <v>-1.417</v>
      </c>
      <c r="BP41">
        <v>0.94899999999999995</v>
      </c>
      <c r="BQ41">
        <v>-5.351</v>
      </c>
      <c r="BR41">
        <v>-1.0069999999999999</v>
      </c>
      <c r="BS41">
        <v>-0.23799999999999999</v>
      </c>
      <c r="BT41">
        <v>-7.4459999999999997</v>
      </c>
      <c r="BU41">
        <v>-5.8719999999999999</v>
      </c>
      <c r="BV41">
        <v>-2.15</v>
      </c>
      <c r="BW41">
        <v>1.556</v>
      </c>
      <c r="BX41">
        <v>-7.1790000000000003</v>
      </c>
      <c r="BY41">
        <v>0.71799999999999997</v>
      </c>
      <c r="BZ41">
        <v>5.2999999999999999E-2</v>
      </c>
      <c r="CA41">
        <v>0.51500000000000001</v>
      </c>
      <c r="CB41">
        <v>-2.1520000000000001</v>
      </c>
      <c r="CC41">
        <v>-0.53300000000000003</v>
      </c>
      <c r="CD41">
        <v>-0.20399999999999999</v>
      </c>
      <c r="CE41">
        <v>-1.7829999999999999</v>
      </c>
      <c r="CF41">
        <v>0.218</v>
      </c>
      <c r="CG41">
        <v>0.248</v>
      </c>
      <c r="CH41">
        <v>-2.863</v>
      </c>
      <c r="CI41">
        <v>-2.6070000000000002</v>
      </c>
      <c r="CJ41">
        <v>0.66700000000000004</v>
      </c>
      <c r="CK41">
        <v>0.99</v>
      </c>
      <c r="CL41">
        <v>1.476</v>
      </c>
      <c r="CM41">
        <v>0.80900000000000005</v>
      </c>
      <c r="CN41">
        <v>0.89700000000000002</v>
      </c>
      <c r="CO41">
        <v>0.92400000000000004</v>
      </c>
      <c r="CP41">
        <v>-9.1310000000000002</v>
      </c>
      <c r="CQ41">
        <v>-5.8440000000000003</v>
      </c>
      <c r="CR41">
        <v>-0.38400000000000001</v>
      </c>
      <c r="CS41">
        <v>4.0000000000000001E-3</v>
      </c>
      <c r="CT41">
        <v>-7.58</v>
      </c>
      <c r="CU41">
        <v>1.4910000000000001</v>
      </c>
      <c r="CV41">
        <v>-11.06</v>
      </c>
      <c r="CW41">
        <v>0.28499999999999998</v>
      </c>
      <c r="CX41">
        <v>1.208</v>
      </c>
      <c r="CY41">
        <v>-1.9790000000000001</v>
      </c>
      <c r="CZ41">
        <v>1.345</v>
      </c>
      <c r="DA41">
        <v>-1.3029999999999999</v>
      </c>
      <c r="DB41">
        <v>-0.66300000000000003</v>
      </c>
      <c r="DC41">
        <v>-1.7330000000000001</v>
      </c>
      <c r="DD41">
        <v>0.248</v>
      </c>
      <c r="DE41">
        <v>-9.4179999999999993</v>
      </c>
      <c r="DF41">
        <v>-0.1</v>
      </c>
      <c r="DG41">
        <v>1.0920000000000001</v>
      </c>
      <c r="DH41">
        <v>-1.1220000000000001</v>
      </c>
      <c r="DI41">
        <v>-2.8410000000000002</v>
      </c>
      <c r="DJ41">
        <v>-4.3129999999999997</v>
      </c>
      <c r="DK41">
        <v>1.585</v>
      </c>
      <c r="DL41">
        <v>-1.44</v>
      </c>
      <c r="DM41">
        <v>-0.84899999999999998</v>
      </c>
      <c r="DN41">
        <v>0.81799999999999995</v>
      </c>
      <c r="DO41">
        <v>-1.0129999999999999</v>
      </c>
      <c r="DP41">
        <v>0.80900000000000005</v>
      </c>
      <c r="DQ41">
        <v>-8.8659999999999997</v>
      </c>
      <c r="DR41">
        <v>1.466</v>
      </c>
      <c r="DS41">
        <v>-1.2270000000000001</v>
      </c>
      <c r="DT41">
        <v>0.95499999999999996</v>
      </c>
      <c r="DU41">
        <v>1.6080000000000001</v>
      </c>
      <c r="DV41">
        <v>-1.0069999999999999</v>
      </c>
      <c r="DW41">
        <v>-1.1579999999999999</v>
      </c>
      <c r="DX41">
        <v>-2.718</v>
      </c>
      <c r="DY41">
        <v>0.49199999999999999</v>
      </c>
      <c r="DZ41">
        <v>0.19600000000000001</v>
      </c>
      <c r="EA41">
        <v>-0.14699999999999999</v>
      </c>
      <c r="EB41">
        <v>0.38500000000000001</v>
      </c>
      <c r="EC41">
        <v>0.374</v>
      </c>
      <c r="ED41">
        <v>-1.8859999999999999</v>
      </c>
      <c r="EE41">
        <v>0.253</v>
      </c>
      <c r="EF41">
        <v>0.36599999999999999</v>
      </c>
      <c r="EG41">
        <v>-3.5409999999999999</v>
      </c>
      <c r="EH41">
        <v>1.679</v>
      </c>
      <c r="EI41">
        <v>-2.2879999999999998</v>
      </c>
      <c r="EJ41">
        <v>-6.5549999999999997</v>
      </c>
      <c r="EK41">
        <v>1.498</v>
      </c>
      <c r="EL41">
        <v>-6.7709999999999999</v>
      </c>
      <c r="EM41">
        <v>0.69799999999999995</v>
      </c>
      <c r="EN41">
        <v>-0.14499999999999999</v>
      </c>
      <c r="EO41">
        <v>1.722</v>
      </c>
      <c r="EP41">
        <v>-3.9529999999999998</v>
      </c>
      <c r="EQ41">
        <v>-7.2290000000000001</v>
      </c>
      <c r="ER41">
        <v>0.20899999999999999</v>
      </c>
      <c r="ES41">
        <v>0.61499999999999999</v>
      </c>
      <c r="ET41">
        <v>0.25600000000000001</v>
      </c>
      <c r="EU41">
        <v>9.2999999999999999E-2</v>
      </c>
      <c r="EV41">
        <v>-2.7709999999999999</v>
      </c>
      <c r="EW41">
        <v>-0.17799999999999999</v>
      </c>
      <c r="EX41">
        <v>0.20100000000000001</v>
      </c>
      <c r="EY41">
        <v>-2.5590000000000002</v>
      </c>
      <c r="EZ41">
        <v>-1.093</v>
      </c>
      <c r="FA41">
        <v>0.80300000000000005</v>
      </c>
      <c r="FB41">
        <v>1.492</v>
      </c>
      <c r="FC41">
        <v>1.3420000000000001</v>
      </c>
      <c r="FD41">
        <v>-0.03</v>
      </c>
      <c r="FE41">
        <v>-1.9319999999999999</v>
      </c>
      <c r="FF41">
        <v>-2.177</v>
      </c>
      <c r="FG41">
        <v>-2.4260000000000002</v>
      </c>
      <c r="FH41">
        <v>-4.4329999999999998</v>
      </c>
      <c r="FI41">
        <v>5.0999999999999997E-2</v>
      </c>
      <c r="FJ41">
        <v>-0.86799999999999999</v>
      </c>
      <c r="FK41">
        <v>-6.798</v>
      </c>
      <c r="FL41">
        <v>0.96799999999999997</v>
      </c>
      <c r="FM41">
        <v>-0.746</v>
      </c>
      <c r="FN41">
        <v>-2.7E-2</v>
      </c>
      <c r="FO41">
        <v>0.16300000000000001</v>
      </c>
      <c r="FP41">
        <v>-0.66</v>
      </c>
      <c r="FQ41">
        <v>-1.944</v>
      </c>
      <c r="FR41">
        <v>0.93799999999999994</v>
      </c>
      <c r="FS41">
        <v>-3.129</v>
      </c>
      <c r="FT41">
        <v>0.58699999999999997</v>
      </c>
      <c r="FU41">
        <v>0.82299999999999995</v>
      </c>
      <c r="FV41">
        <v>1.282</v>
      </c>
      <c r="FW41">
        <v>0.36799999999999999</v>
      </c>
      <c r="FX41">
        <v>-9.8680000000000003</v>
      </c>
      <c r="FY41">
        <v>0.72699999999999998</v>
      </c>
      <c r="FZ41">
        <v>-5.7469999999999999</v>
      </c>
      <c r="GA41">
        <v>-8.5359999999999996</v>
      </c>
      <c r="GB41">
        <v>-5.0209999999999999</v>
      </c>
      <c r="GC41">
        <v>1.212</v>
      </c>
      <c r="GD41">
        <v>-2.9889999999999999</v>
      </c>
      <c r="GE41">
        <v>-1.823</v>
      </c>
      <c r="GF41">
        <v>-0.435</v>
      </c>
      <c r="GG41">
        <v>-1.4650000000000001</v>
      </c>
      <c r="GH41">
        <v>-1.0880000000000001</v>
      </c>
      <c r="GI41">
        <v>2.044</v>
      </c>
      <c r="GJ41">
        <v>1.117</v>
      </c>
      <c r="GK41">
        <v>2.5000000000000001E-2</v>
      </c>
      <c r="GL41">
        <v>-5.3040000000000003</v>
      </c>
      <c r="GM41">
        <v>-2.0110000000000001</v>
      </c>
      <c r="GN41">
        <v>1.35</v>
      </c>
      <c r="GO41">
        <v>-0.88200000000000001</v>
      </c>
      <c r="GP41">
        <v>-0.19700000000000001</v>
      </c>
      <c r="GQ41">
        <v>-2.19</v>
      </c>
      <c r="GR41">
        <v>-5.3440000000000003</v>
      </c>
      <c r="GS41">
        <v>-0.51300000000000001</v>
      </c>
      <c r="GT41">
        <v>-0.154</v>
      </c>
      <c r="GU41">
        <v>-7.6180000000000003</v>
      </c>
      <c r="GV41">
        <v>0.80700000000000005</v>
      </c>
      <c r="GW41">
        <v>1.5029999999999999</v>
      </c>
      <c r="GX41">
        <v>0.51</v>
      </c>
      <c r="GY41">
        <v>-8.7999999999999995E-2</v>
      </c>
      <c r="GZ41">
        <v>-0.184</v>
      </c>
      <c r="HA41">
        <v>-2.3079999999999998</v>
      </c>
      <c r="HB41">
        <v>-5.1070000000000002</v>
      </c>
      <c r="HC41">
        <v>-7.0730000000000004</v>
      </c>
      <c r="HD41">
        <v>-1.159</v>
      </c>
      <c r="HE41">
        <v>-8.0000000000000002E-3</v>
      </c>
      <c r="HF41">
        <v>-5.4240000000000004</v>
      </c>
      <c r="HG41">
        <v>-0.24</v>
      </c>
      <c r="HH41">
        <v>-2.9129999999999998</v>
      </c>
      <c r="HI41">
        <v>-2.1789999999999998</v>
      </c>
      <c r="HJ41">
        <v>-1.6279999999999999</v>
      </c>
      <c r="HK41">
        <v>1.246</v>
      </c>
      <c r="HL41">
        <v>1.4139999999999999</v>
      </c>
      <c r="HM41">
        <v>-4.8760000000000003</v>
      </c>
      <c r="HN41">
        <v>-0.22800000000000001</v>
      </c>
      <c r="HO41">
        <v>-5.5590000000000002</v>
      </c>
      <c r="HP41">
        <v>0.36799999999999999</v>
      </c>
      <c r="HQ41">
        <v>-0.78200000000000003</v>
      </c>
      <c r="HR41">
        <v>-4.5090000000000003</v>
      </c>
      <c r="HS41">
        <v>-5.9550000000000001</v>
      </c>
      <c r="HT41">
        <v>-2.1819999999999999</v>
      </c>
      <c r="HU41">
        <v>-0.56799999999999995</v>
      </c>
      <c r="HV41">
        <v>-1.246</v>
      </c>
      <c r="HW41">
        <v>0.38200000000000001</v>
      </c>
      <c r="HX41">
        <v>-0.56000000000000005</v>
      </c>
      <c r="HY41">
        <v>1.6</v>
      </c>
      <c r="HZ41">
        <v>-3.0000000000000001E-3</v>
      </c>
      <c r="IA41">
        <v>0.214</v>
      </c>
      <c r="IB41">
        <v>-0.14699999999999999</v>
      </c>
      <c r="IC41">
        <v>-1.3089999999999999</v>
      </c>
      <c r="ID41">
        <v>-3.6219999999999999</v>
      </c>
      <c r="IE41">
        <v>0.57399999999999995</v>
      </c>
      <c r="IF41">
        <v>0.82099999999999995</v>
      </c>
      <c r="IG41">
        <v>1.1970000000000001</v>
      </c>
      <c r="IH41">
        <v>-2.5059999999999998</v>
      </c>
      <c r="II41">
        <v>1.2729999999999999</v>
      </c>
      <c r="IJ41">
        <v>-0.27900000000000003</v>
      </c>
      <c r="IK41">
        <v>-0.23300000000000001</v>
      </c>
      <c r="IL41">
        <v>1.7749999999999999</v>
      </c>
      <c r="IM41">
        <v>0.35099999999999998</v>
      </c>
      <c r="IN41">
        <v>-0.18</v>
      </c>
      <c r="IO41">
        <v>4.0000000000000001E-3</v>
      </c>
      <c r="IP41">
        <v>-0.44700000000000001</v>
      </c>
      <c r="IQ41">
        <v>-5.8140000000000001</v>
      </c>
      <c r="IR41">
        <v>-1.645</v>
      </c>
      <c r="IS41">
        <v>-0.14000000000000001</v>
      </c>
      <c r="IT41">
        <v>0.46500000000000002</v>
      </c>
      <c r="IU41">
        <v>0.253</v>
      </c>
      <c r="IV41">
        <v>-0.64200000000000002</v>
      </c>
      <c r="IW41">
        <v>-4.7670000000000003</v>
      </c>
      <c r="IX41">
        <v>-0.90800000000000003</v>
      </c>
      <c r="IY41">
        <v>-0.80400000000000005</v>
      </c>
      <c r="IZ41">
        <v>-1.083</v>
      </c>
      <c r="JA41">
        <v>0.184</v>
      </c>
      <c r="JB41">
        <v>-0.36199999999999999</v>
      </c>
      <c r="JC41">
        <v>0.72</v>
      </c>
      <c r="JD41">
        <v>-1.022</v>
      </c>
      <c r="JE41">
        <v>-3.3140000000000001</v>
      </c>
      <c r="JF41">
        <v>0.28399999999999997</v>
      </c>
      <c r="JG41">
        <v>0.89</v>
      </c>
      <c r="JH41">
        <v>-0.376</v>
      </c>
      <c r="JI41">
        <v>-7.1859999999999999</v>
      </c>
      <c r="JJ41">
        <v>0.06</v>
      </c>
      <c r="JK41">
        <v>-6.2930000000000001</v>
      </c>
      <c r="JL41">
        <v>-0.72299999999999998</v>
      </c>
      <c r="JM41">
        <v>0.57899999999999996</v>
      </c>
      <c r="JN41">
        <v>0.11899999999999999</v>
      </c>
      <c r="JO41">
        <v>0.34899999999999998</v>
      </c>
      <c r="JP41">
        <v>-5.5369999999999999</v>
      </c>
      <c r="JQ41">
        <v>-1.4E-2</v>
      </c>
      <c r="JR41">
        <v>7.0999999999999994E-2</v>
      </c>
      <c r="JS41">
        <v>1.2390000000000001</v>
      </c>
      <c r="JT41">
        <v>-1.2110000000000001</v>
      </c>
      <c r="JU41">
        <v>0.20399999999999999</v>
      </c>
      <c r="JV41">
        <v>-0.40200000000000002</v>
      </c>
      <c r="JW41">
        <v>1.5760000000000001</v>
      </c>
      <c r="JX41">
        <v>-0.51600000000000001</v>
      </c>
      <c r="JY41">
        <v>-4.9690000000000003</v>
      </c>
      <c r="JZ41">
        <v>-5.2629999999999999</v>
      </c>
      <c r="KA41">
        <v>-1.7589999999999999</v>
      </c>
      <c r="KB41">
        <v>-0.27600000000000002</v>
      </c>
      <c r="KC41">
        <v>0.159</v>
      </c>
      <c r="KD41">
        <v>0.53500000000000003</v>
      </c>
      <c r="KE41">
        <v>-3.7719999999999998</v>
      </c>
      <c r="KF41">
        <v>-7.2430000000000003</v>
      </c>
      <c r="KG41">
        <v>1.3080000000000001</v>
      </c>
      <c r="KH41">
        <v>1.194</v>
      </c>
      <c r="KI41">
        <v>0.23499999999999999</v>
      </c>
      <c r="KJ41">
        <v>-0.88500000000000001</v>
      </c>
      <c r="KK41">
        <v>0.83399999999999996</v>
      </c>
      <c r="KL41">
        <v>-4.0549999999999997</v>
      </c>
      <c r="KM41">
        <v>-5.3419999999999996</v>
      </c>
      <c r="KN41">
        <v>-0.16900000000000001</v>
      </c>
      <c r="KO41">
        <v>-1.1060000000000001</v>
      </c>
      <c r="KP41">
        <v>-3.383</v>
      </c>
      <c r="KQ41">
        <v>-8.6880000000000006</v>
      </c>
      <c r="KR41">
        <v>-8.58</v>
      </c>
    </row>
    <row r="42" spans="1:304" x14ac:dyDescent="0.25">
      <c r="A42">
        <v>2017</v>
      </c>
      <c r="B42">
        <v>3</v>
      </c>
      <c r="C42">
        <v>-6.26</v>
      </c>
      <c r="D42">
        <v>2.78</v>
      </c>
      <c r="E42">
        <v>3.4710000000000001</v>
      </c>
      <c r="F42">
        <v>3.1030000000000002</v>
      </c>
      <c r="G42">
        <v>3.0569999999999999</v>
      </c>
      <c r="H42">
        <v>2.5030000000000001</v>
      </c>
      <c r="I42">
        <v>-6.1029999999999998</v>
      </c>
      <c r="J42">
        <v>-5.1070000000000002</v>
      </c>
      <c r="K42">
        <v>1.974</v>
      </c>
      <c r="L42">
        <v>2.1930000000000001</v>
      </c>
      <c r="M42">
        <v>1.5189999999999999</v>
      </c>
      <c r="N42">
        <v>2.4750000000000001</v>
      </c>
      <c r="O42">
        <v>-2.3959999999999999</v>
      </c>
      <c r="P42">
        <v>4.2270000000000003</v>
      </c>
      <c r="Q42">
        <v>-3.843</v>
      </c>
      <c r="R42">
        <v>2.899</v>
      </c>
      <c r="S42">
        <v>1.0289999999999999</v>
      </c>
      <c r="T42">
        <v>4.0199999999999996</v>
      </c>
      <c r="U42">
        <v>1.2470000000000001</v>
      </c>
      <c r="V42">
        <v>2.5019999999999998</v>
      </c>
      <c r="W42">
        <v>2.6160000000000001</v>
      </c>
      <c r="X42">
        <v>3.89</v>
      </c>
      <c r="Y42">
        <v>4.327</v>
      </c>
      <c r="Z42">
        <v>-1.851</v>
      </c>
      <c r="AA42">
        <v>4.7080000000000002</v>
      </c>
      <c r="AB42">
        <v>3.8460000000000001</v>
      </c>
      <c r="AC42">
        <v>1.508</v>
      </c>
      <c r="AD42">
        <v>2.3620000000000001</v>
      </c>
      <c r="AE42">
        <v>2.9369999999999998</v>
      </c>
      <c r="AF42">
        <v>1.59</v>
      </c>
      <c r="AG42">
        <v>0.44400000000000001</v>
      </c>
      <c r="AH42">
        <v>-3.9380000000000002</v>
      </c>
      <c r="AI42">
        <v>0.38500000000000001</v>
      </c>
      <c r="AJ42">
        <v>2.4279999999999999</v>
      </c>
      <c r="AK42">
        <v>3.2810000000000001</v>
      </c>
      <c r="AL42">
        <v>2.3079999999999998</v>
      </c>
      <c r="AM42">
        <v>2.61</v>
      </c>
      <c r="AN42">
        <v>4.2770000000000001</v>
      </c>
      <c r="AO42">
        <v>3.081</v>
      </c>
      <c r="AP42">
        <v>1.423</v>
      </c>
      <c r="AQ42">
        <v>3.4740000000000002</v>
      </c>
      <c r="AR42">
        <v>2.4790000000000001</v>
      </c>
      <c r="AS42">
        <v>4.4039999999999999</v>
      </c>
      <c r="AT42">
        <v>1.1870000000000001</v>
      </c>
      <c r="AU42">
        <v>1.0509999999999999</v>
      </c>
      <c r="AV42">
        <v>1.907</v>
      </c>
      <c r="AW42">
        <v>2.6960000000000002</v>
      </c>
      <c r="AX42">
        <v>2.4660000000000002</v>
      </c>
      <c r="AY42">
        <v>2.153</v>
      </c>
      <c r="AZ42">
        <v>-3.2120000000000002</v>
      </c>
      <c r="BA42">
        <v>2.677</v>
      </c>
      <c r="BB42">
        <v>-2.7280000000000002</v>
      </c>
      <c r="BC42">
        <v>0.64200000000000002</v>
      </c>
      <c r="BD42">
        <v>2.665</v>
      </c>
      <c r="BE42">
        <v>2.44</v>
      </c>
      <c r="BF42">
        <v>3.1779999999999999</v>
      </c>
      <c r="BG42">
        <v>-4.6440000000000001</v>
      </c>
      <c r="BH42">
        <v>-5.9610000000000003</v>
      </c>
      <c r="BI42">
        <v>2.1059999999999999</v>
      </c>
      <c r="BJ42">
        <v>3.7090000000000001</v>
      </c>
      <c r="BK42">
        <v>3.0830000000000002</v>
      </c>
      <c r="BL42">
        <v>2.3809999999999998</v>
      </c>
      <c r="BM42">
        <v>0.96899999999999997</v>
      </c>
      <c r="BN42">
        <v>2.2559999999999998</v>
      </c>
      <c r="BO42">
        <v>2.1640000000000001</v>
      </c>
      <c r="BP42">
        <v>3.6709999999999998</v>
      </c>
      <c r="BQ42">
        <v>-1.71</v>
      </c>
      <c r="BR42">
        <v>2.5259999999999998</v>
      </c>
      <c r="BS42">
        <v>2.5289999999999999</v>
      </c>
      <c r="BT42">
        <v>-4.1779999999999999</v>
      </c>
      <c r="BU42">
        <v>-2.9580000000000002</v>
      </c>
      <c r="BV42">
        <v>1.3779999999999999</v>
      </c>
      <c r="BW42">
        <v>4.4130000000000003</v>
      </c>
      <c r="BX42">
        <v>-5.7789999999999999</v>
      </c>
      <c r="BY42">
        <v>2.8929999999999998</v>
      </c>
      <c r="BZ42">
        <v>2.9039999999999999</v>
      </c>
      <c r="CA42">
        <v>3.0979999999999999</v>
      </c>
      <c r="CB42">
        <v>1.272</v>
      </c>
      <c r="CC42">
        <v>2.46</v>
      </c>
      <c r="CD42">
        <v>2.754</v>
      </c>
      <c r="CE42">
        <v>1.4410000000000001</v>
      </c>
      <c r="CF42">
        <v>3.1789999999999998</v>
      </c>
      <c r="CG42">
        <v>2.9239999999999999</v>
      </c>
      <c r="CH42">
        <v>0.97</v>
      </c>
      <c r="CI42">
        <v>0.14299999999999999</v>
      </c>
      <c r="CJ42">
        <v>3.4420000000000002</v>
      </c>
      <c r="CK42">
        <v>3.8690000000000002</v>
      </c>
      <c r="CL42">
        <v>4.1379999999999999</v>
      </c>
      <c r="CM42">
        <v>3.5830000000000002</v>
      </c>
      <c r="CN42">
        <v>4.0030000000000001</v>
      </c>
      <c r="CO42">
        <v>3.9710000000000001</v>
      </c>
      <c r="CP42">
        <v>-5.7270000000000003</v>
      </c>
      <c r="CQ42">
        <v>-2.7959999999999998</v>
      </c>
      <c r="CR42">
        <v>2.91</v>
      </c>
      <c r="CS42">
        <v>2.8039999999999998</v>
      </c>
      <c r="CT42">
        <v>-4.3410000000000002</v>
      </c>
      <c r="CU42">
        <v>3.9780000000000002</v>
      </c>
      <c r="CV42">
        <v>-6.6970000000000001</v>
      </c>
      <c r="CW42">
        <v>2.9729999999999999</v>
      </c>
      <c r="CX42">
        <v>3.9460000000000002</v>
      </c>
      <c r="CY42">
        <v>1.329</v>
      </c>
      <c r="CZ42">
        <v>4.0019999999999998</v>
      </c>
      <c r="DA42">
        <v>2.4039999999999999</v>
      </c>
      <c r="DB42">
        <v>2.5790000000000002</v>
      </c>
      <c r="DC42">
        <v>2.2519999999999998</v>
      </c>
      <c r="DD42">
        <v>3.0710000000000002</v>
      </c>
      <c r="DE42">
        <v>-6.3890000000000002</v>
      </c>
      <c r="DF42">
        <v>2.754</v>
      </c>
      <c r="DG42">
        <v>3.903</v>
      </c>
      <c r="DH42">
        <v>2.2469999999999999</v>
      </c>
      <c r="DI42">
        <v>0.85399999999999998</v>
      </c>
      <c r="DJ42">
        <v>-1.0089999999999999</v>
      </c>
      <c r="DK42">
        <v>4.5679999999999996</v>
      </c>
      <c r="DL42">
        <v>1.7450000000000001</v>
      </c>
      <c r="DM42">
        <v>2.363</v>
      </c>
      <c r="DN42">
        <v>3.4940000000000002</v>
      </c>
      <c r="DO42">
        <v>2.6040000000000001</v>
      </c>
      <c r="DP42">
        <v>3.5750000000000002</v>
      </c>
      <c r="DQ42">
        <v>-6.351</v>
      </c>
      <c r="DR42">
        <v>4.516</v>
      </c>
      <c r="DS42">
        <v>2.3849999999999998</v>
      </c>
      <c r="DT42">
        <v>3.8380000000000001</v>
      </c>
      <c r="DU42">
        <v>4.4950000000000001</v>
      </c>
      <c r="DV42">
        <v>2.238</v>
      </c>
      <c r="DW42">
        <v>2.141</v>
      </c>
      <c r="DX42">
        <v>0.58499999999999996</v>
      </c>
      <c r="DY42">
        <v>3.2360000000000002</v>
      </c>
      <c r="DZ42">
        <v>3.0659999999999998</v>
      </c>
      <c r="EA42">
        <v>2.9390000000000001</v>
      </c>
      <c r="EB42">
        <v>3.37</v>
      </c>
      <c r="EC42">
        <v>3.2509999999999999</v>
      </c>
      <c r="ED42">
        <v>1.698</v>
      </c>
      <c r="EE42">
        <v>3.1920000000000002</v>
      </c>
      <c r="EF42">
        <v>3.0619999999999998</v>
      </c>
      <c r="EG42">
        <v>2.8000000000000001E-2</v>
      </c>
      <c r="EH42">
        <v>4.7060000000000004</v>
      </c>
      <c r="EI42">
        <v>1.1439999999999999</v>
      </c>
      <c r="EJ42">
        <v>-3.702</v>
      </c>
      <c r="EK42">
        <v>4.5810000000000004</v>
      </c>
      <c r="EL42">
        <v>-3.617</v>
      </c>
      <c r="EM42">
        <v>3.4319999999999999</v>
      </c>
      <c r="EN42">
        <v>2.7930000000000001</v>
      </c>
      <c r="EO42">
        <v>4.7069999999999999</v>
      </c>
      <c r="EP42">
        <v>-0.38800000000000001</v>
      </c>
      <c r="EQ42">
        <v>-4.7969999999999997</v>
      </c>
      <c r="ER42">
        <v>3.1360000000000001</v>
      </c>
      <c r="ES42">
        <v>3.3460000000000001</v>
      </c>
      <c r="ET42">
        <v>3.117</v>
      </c>
      <c r="EU42">
        <v>3.052</v>
      </c>
      <c r="EV42">
        <v>0.50600000000000001</v>
      </c>
      <c r="EW42">
        <v>2.734</v>
      </c>
      <c r="EX42">
        <v>2.9180000000000001</v>
      </c>
      <c r="EY42">
        <v>1.3959999999999999</v>
      </c>
      <c r="EZ42">
        <v>2.2269999999999999</v>
      </c>
      <c r="FA42">
        <v>3.5779999999999998</v>
      </c>
      <c r="FB42">
        <v>3.9580000000000002</v>
      </c>
      <c r="FC42">
        <v>3.758</v>
      </c>
      <c r="FD42">
        <v>2.9929999999999999</v>
      </c>
      <c r="FE42">
        <v>1.6279999999999999</v>
      </c>
      <c r="FF42">
        <v>1.2310000000000001</v>
      </c>
      <c r="FG42">
        <v>0.64500000000000002</v>
      </c>
      <c r="FH42">
        <v>-0.93300000000000005</v>
      </c>
      <c r="FI42">
        <v>3.01</v>
      </c>
      <c r="FJ42">
        <v>2.1560000000000001</v>
      </c>
      <c r="FK42">
        <v>-3.9529999999999998</v>
      </c>
      <c r="FL42">
        <v>3.609</v>
      </c>
      <c r="FM42">
        <v>2.5299999999999998</v>
      </c>
      <c r="FN42">
        <v>2.9590000000000001</v>
      </c>
      <c r="FO42">
        <v>2.5270000000000001</v>
      </c>
      <c r="FP42">
        <v>2.2639999999999998</v>
      </c>
      <c r="FQ42">
        <v>1.2470000000000001</v>
      </c>
      <c r="FR42">
        <v>3.7559999999999998</v>
      </c>
      <c r="FS42">
        <v>8.1000000000000003E-2</v>
      </c>
      <c r="FT42">
        <v>3.363</v>
      </c>
      <c r="FU42">
        <v>3.54</v>
      </c>
      <c r="FV42">
        <v>3.7130000000000001</v>
      </c>
      <c r="FW42">
        <v>3.0009999999999999</v>
      </c>
      <c r="FX42">
        <v>-5.2229999999999999</v>
      </c>
      <c r="FY42">
        <v>3.496</v>
      </c>
      <c r="FZ42">
        <v>-2.6440000000000001</v>
      </c>
      <c r="GA42">
        <v>-6.6749999999999998</v>
      </c>
      <c r="GB42">
        <v>-1.6080000000000001</v>
      </c>
      <c r="GC42">
        <v>3.9159999999999999</v>
      </c>
      <c r="GD42">
        <v>0.32500000000000001</v>
      </c>
      <c r="GE42">
        <v>1.7170000000000001</v>
      </c>
      <c r="GF42">
        <v>2.7349999999999999</v>
      </c>
      <c r="GG42">
        <v>1.913</v>
      </c>
      <c r="GH42">
        <v>2.3380000000000001</v>
      </c>
      <c r="GI42">
        <v>4.3209999999999997</v>
      </c>
      <c r="GJ42">
        <v>4.17</v>
      </c>
      <c r="GK42">
        <v>2.944</v>
      </c>
      <c r="GL42">
        <v>-2.0649999999999999</v>
      </c>
      <c r="GM42">
        <v>1.4490000000000001</v>
      </c>
      <c r="GN42">
        <v>4.1689999999999996</v>
      </c>
      <c r="GO42">
        <v>2.181</v>
      </c>
      <c r="GP42">
        <v>2.73</v>
      </c>
      <c r="GQ42">
        <v>1.3080000000000001</v>
      </c>
      <c r="GR42">
        <v>-1.6930000000000001</v>
      </c>
      <c r="GS42">
        <v>2.8140000000000001</v>
      </c>
      <c r="GT42">
        <v>3.0329999999999999</v>
      </c>
      <c r="GU42">
        <v>-5.3630000000000004</v>
      </c>
      <c r="GV42">
        <v>3.516</v>
      </c>
      <c r="GW42">
        <v>4.5730000000000004</v>
      </c>
      <c r="GX42">
        <v>3.327</v>
      </c>
      <c r="GY42">
        <v>2.9910000000000001</v>
      </c>
      <c r="GZ42">
        <v>3.0329999999999999</v>
      </c>
      <c r="HA42">
        <v>1.2010000000000001</v>
      </c>
      <c r="HB42">
        <v>-3.2029999999999998</v>
      </c>
      <c r="HC42">
        <v>-4.7949999999999999</v>
      </c>
      <c r="HD42">
        <v>2.532</v>
      </c>
      <c r="HE42">
        <v>3.0939999999999999</v>
      </c>
      <c r="HF42">
        <v>-2.9329999999999998</v>
      </c>
      <c r="HG42">
        <v>2.9980000000000002</v>
      </c>
      <c r="HH42">
        <v>0.438</v>
      </c>
      <c r="HI42">
        <v>1.7230000000000001</v>
      </c>
      <c r="HJ42">
        <v>1.913</v>
      </c>
      <c r="HK42">
        <v>4.2380000000000004</v>
      </c>
      <c r="HL42">
        <v>4.423</v>
      </c>
      <c r="HM42">
        <v>-1.4510000000000001</v>
      </c>
      <c r="HN42">
        <v>2.548</v>
      </c>
      <c r="HO42">
        <v>-1.9470000000000001</v>
      </c>
      <c r="HP42">
        <v>3.2719999999999998</v>
      </c>
      <c r="HQ42">
        <v>2.7130000000000001</v>
      </c>
      <c r="HR42">
        <v>-1.84</v>
      </c>
      <c r="HS42">
        <v>-2.9180000000000001</v>
      </c>
      <c r="HT42">
        <v>1.327</v>
      </c>
      <c r="HU42">
        <v>2.4700000000000002</v>
      </c>
      <c r="HV42">
        <v>1.839</v>
      </c>
      <c r="HW42">
        <v>3.1819999999999999</v>
      </c>
      <c r="HX42">
        <v>2.609</v>
      </c>
      <c r="HY42">
        <v>4.2549999999999999</v>
      </c>
      <c r="HZ42">
        <v>2.9289999999999998</v>
      </c>
      <c r="IA42">
        <v>3.016</v>
      </c>
      <c r="IB42">
        <v>2.7010000000000001</v>
      </c>
      <c r="IC42">
        <v>1.9950000000000001</v>
      </c>
      <c r="ID42">
        <v>-0.191</v>
      </c>
      <c r="IE42">
        <v>3.3490000000000002</v>
      </c>
      <c r="IF42">
        <v>3.5019999999999998</v>
      </c>
      <c r="IG42">
        <v>4.0949999999999998</v>
      </c>
      <c r="IH42">
        <v>1.266</v>
      </c>
      <c r="II42">
        <v>3.7949999999999999</v>
      </c>
      <c r="IJ42">
        <v>2.464</v>
      </c>
      <c r="IK42">
        <v>2.778</v>
      </c>
      <c r="IL42">
        <v>4.3120000000000003</v>
      </c>
      <c r="IM42">
        <v>3.2080000000000002</v>
      </c>
      <c r="IN42">
        <v>2.56</v>
      </c>
      <c r="IO42">
        <v>2.8290000000000002</v>
      </c>
      <c r="IP42">
        <v>2.7989999999999999</v>
      </c>
      <c r="IQ42">
        <v>-3.7160000000000002</v>
      </c>
      <c r="IR42">
        <v>1.7350000000000001</v>
      </c>
      <c r="IS42">
        <v>2.8039999999999998</v>
      </c>
      <c r="IT42">
        <v>3.2080000000000002</v>
      </c>
      <c r="IU42">
        <v>2.9350000000000001</v>
      </c>
      <c r="IV42">
        <v>2.1739999999999999</v>
      </c>
      <c r="IW42">
        <v>-1.351</v>
      </c>
      <c r="IX42">
        <v>2.4910000000000001</v>
      </c>
      <c r="IY42">
        <v>2.5779999999999998</v>
      </c>
      <c r="IZ42">
        <v>2.254</v>
      </c>
      <c r="JA42">
        <v>2.9609999999999999</v>
      </c>
      <c r="JB42">
        <v>2.5720000000000001</v>
      </c>
      <c r="JC42">
        <v>3.3639999999999999</v>
      </c>
      <c r="JD42">
        <v>2.2930000000000001</v>
      </c>
      <c r="JE42">
        <v>0.23300000000000001</v>
      </c>
      <c r="JF42">
        <v>3.1720000000000002</v>
      </c>
      <c r="JG42">
        <v>3.4849999999999999</v>
      </c>
      <c r="JH42">
        <v>2.6890000000000001</v>
      </c>
      <c r="JI42">
        <v>-4.6719999999999997</v>
      </c>
      <c r="JJ42">
        <v>3.0129999999999999</v>
      </c>
      <c r="JK42">
        <v>-2.6520000000000001</v>
      </c>
      <c r="JL42">
        <v>2.5609999999999999</v>
      </c>
      <c r="JM42">
        <v>2.6909999999999998</v>
      </c>
      <c r="JN42">
        <v>2.9540000000000002</v>
      </c>
      <c r="JO42">
        <v>3.1259999999999999</v>
      </c>
      <c r="JP42">
        <v>-1.9770000000000001</v>
      </c>
      <c r="JQ42">
        <v>2.802</v>
      </c>
      <c r="JR42">
        <v>2.9119999999999999</v>
      </c>
      <c r="JS42">
        <v>3.6960000000000002</v>
      </c>
      <c r="JT42">
        <v>2.4140000000000001</v>
      </c>
      <c r="JU42">
        <v>3.101</v>
      </c>
      <c r="JV42">
        <v>2.54</v>
      </c>
      <c r="JW42">
        <v>4.085</v>
      </c>
      <c r="JX42">
        <v>2.8359999999999999</v>
      </c>
      <c r="JY42">
        <v>-1.117</v>
      </c>
      <c r="JZ42">
        <v>-2.6440000000000001</v>
      </c>
      <c r="KA42">
        <v>1.863</v>
      </c>
      <c r="KB42">
        <v>2.7429999999999999</v>
      </c>
      <c r="KC42">
        <v>2.9169999999999998</v>
      </c>
      <c r="KD42">
        <v>3.2109999999999999</v>
      </c>
      <c r="KE42">
        <v>-0.81599999999999995</v>
      </c>
      <c r="KF42">
        <v>-3.7029999999999998</v>
      </c>
      <c r="KG42">
        <v>4.0940000000000003</v>
      </c>
      <c r="KH42">
        <v>3.762</v>
      </c>
      <c r="KI42">
        <v>3.0430000000000001</v>
      </c>
      <c r="KJ42">
        <v>2.4990000000000001</v>
      </c>
      <c r="KK42">
        <v>3.61</v>
      </c>
      <c r="KL42">
        <v>-0.92</v>
      </c>
      <c r="KM42">
        <v>-2.089</v>
      </c>
      <c r="KN42">
        <v>2.798</v>
      </c>
      <c r="KO42">
        <v>1.917</v>
      </c>
      <c r="KP42">
        <v>0.317</v>
      </c>
      <c r="KQ42">
        <v>-4.5220000000000002</v>
      </c>
      <c r="KR42">
        <v>-4.2220000000000004</v>
      </c>
    </row>
    <row r="43" spans="1:304" x14ac:dyDescent="0.25">
      <c r="A43">
        <v>2017</v>
      </c>
      <c r="B43">
        <v>4</v>
      </c>
      <c r="C43">
        <v>-4.2560000000000002</v>
      </c>
      <c r="D43">
        <v>4.476</v>
      </c>
      <c r="E43">
        <v>5.6440000000000001</v>
      </c>
      <c r="F43">
        <v>5.1150000000000002</v>
      </c>
      <c r="G43">
        <v>4.6779999999999999</v>
      </c>
      <c r="H43">
        <v>4.46</v>
      </c>
      <c r="I43">
        <v>-1.9419999999999999</v>
      </c>
      <c r="J43">
        <v>-1.883</v>
      </c>
      <c r="K43">
        <v>3.831</v>
      </c>
      <c r="L43">
        <v>4.0209999999999999</v>
      </c>
      <c r="M43">
        <v>3.423</v>
      </c>
      <c r="N43">
        <v>4.5650000000000004</v>
      </c>
      <c r="O43">
        <v>0.23100000000000001</v>
      </c>
      <c r="P43">
        <v>6.0590000000000002</v>
      </c>
      <c r="Q43">
        <v>-6.7000000000000004E-2</v>
      </c>
      <c r="R43">
        <v>4.9139999999999997</v>
      </c>
      <c r="S43">
        <v>2.6789999999999998</v>
      </c>
      <c r="T43">
        <v>5.806</v>
      </c>
      <c r="U43">
        <v>3.1040000000000001</v>
      </c>
      <c r="V43">
        <v>4.3970000000000002</v>
      </c>
      <c r="W43">
        <v>4.0289999999999999</v>
      </c>
      <c r="X43">
        <v>5.2949999999999999</v>
      </c>
      <c r="Y43">
        <v>5.7619999999999996</v>
      </c>
      <c r="Z43">
        <v>0.98199999999999998</v>
      </c>
      <c r="AA43">
        <v>6.6749999999999998</v>
      </c>
      <c r="AB43">
        <v>5.9089999999999998</v>
      </c>
      <c r="AC43">
        <v>3.4660000000000002</v>
      </c>
      <c r="AD43">
        <v>4.3789999999999996</v>
      </c>
      <c r="AE43">
        <v>4.4909999999999997</v>
      </c>
      <c r="AF43">
        <v>3.5979999999999999</v>
      </c>
      <c r="AG43">
        <v>2.343</v>
      </c>
      <c r="AH43">
        <v>0.222</v>
      </c>
      <c r="AI43">
        <v>2.1640000000000001</v>
      </c>
      <c r="AJ43">
        <v>4.07</v>
      </c>
      <c r="AK43">
        <v>4.8369999999999997</v>
      </c>
      <c r="AL43">
        <v>4.0419999999999998</v>
      </c>
      <c r="AM43">
        <v>4.5149999999999997</v>
      </c>
      <c r="AN43">
        <v>6.1260000000000003</v>
      </c>
      <c r="AO43">
        <v>5.0570000000000004</v>
      </c>
      <c r="AP43">
        <v>3.3479999999999999</v>
      </c>
      <c r="AQ43">
        <v>5.9539999999999997</v>
      </c>
      <c r="AR43">
        <v>4.2880000000000003</v>
      </c>
      <c r="AS43">
        <v>6.3929999999999998</v>
      </c>
      <c r="AT43">
        <v>3.1709999999999998</v>
      </c>
      <c r="AU43">
        <v>2.9060000000000001</v>
      </c>
      <c r="AV43">
        <v>3.2709999999999999</v>
      </c>
      <c r="AW43">
        <v>4.4409999999999998</v>
      </c>
      <c r="AX43">
        <v>4.2809999999999997</v>
      </c>
      <c r="AY43">
        <v>4.0019999999999998</v>
      </c>
      <c r="AZ43">
        <v>-0.23100000000000001</v>
      </c>
      <c r="BA43">
        <v>4.742</v>
      </c>
      <c r="BB43">
        <v>0.36299999999999999</v>
      </c>
      <c r="BC43">
        <v>2.593</v>
      </c>
      <c r="BD43">
        <v>4.4400000000000004</v>
      </c>
      <c r="BE43">
        <v>3.9409999999999998</v>
      </c>
      <c r="BF43">
        <v>5.2679999999999998</v>
      </c>
      <c r="BG43">
        <v>-0.71699999999999997</v>
      </c>
      <c r="BH43">
        <v>-2.6629999999999998</v>
      </c>
      <c r="BI43">
        <v>3.5409999999999999</v>
      </c>
      <c r="BJ43">
        <v>6.0810000000000004</v>
      </c>
      <c r="BK43">
        <v>5.1189999999999998</v>
      </c>
      <c r="BL43">
        <v>4.1779999999999999</v>
      </c>
      <c r="BM43">
        <v>2.8140000000000001</v>
      </c>
      <c r="BN43">
        <v>4.0679999999999996</v>
      </c>
      <c r="BO43">
        <v>4.1349999999999998</v>
      </c>
      <c r="BP43">
        <v>5.8630000000000004</v>
      </c>
      <c r="BQ43">
        <v>1.3049999999999999</v>
      </c>
      <c r="BR43">
        <v>4.3259999999999996</v>
      </c>
      <c r="BS43">
        <v>3.702</v>
      </c>
      <c r="BT43">
        <v>-0.71899999999999997</v>
      </c>
      <c r="BU43">
        <v>1.4999999999999999E-2</v>
      </c>
      <c r="BV43">
        <v>3.2770000000000001</v>
      </c>
      <c r="BW43">
        <v>6.3440000000000003</v>
      </c>
      <c r="BX43">
        <v>-2.5230000000000001</v>
      </c>
      <c r="BY43">
        <v>4.3099999999999996</v>
      </c>
      <c r="BZ43">
        <v>4.7619999999999996</v>
      </c>
      <c r="CA43">
        <v>4.798</v>
      </c>
      <c r="CB43">
        <v>2.9630000000000001</v>
      </c>
      <c r="CC43">
        <v>4.375</v>
      </c>
      <c r="CD43">
        <v>4.1500000000000004</v>
      </c>
      <c r="CE43">
        <v>2.9580000000000002</v>
      </c>
      <c r="CF43">
        <v>4.7859999999999996</v>
      </c>
      <c r="CG43">
        <v>4.8490000000000002</v>
      </c>
      <c r="CH43">
        <v>2.7429999999999999</v>
      </c>
      <c r="CI43">
        <v>2.173</v>
      </c>
      <c r="CJ43">
        <v>5.6950000000000003</v>
      </c>
      <c r="CK43">
        <v>5.383</v>
      </c>
      <c r="CL43">
        <v>6.2779999999999996</v>
      </c>
      <c r="CM43">
        <v>5.2190000000000003</v>
      </c>
      <c r="CN43">
        <v>5.6390000000000002</v>
      </c>
      <c r="CO43">
        <v>5.6509999999999998</v>
      </c>
      <c r="CP43">
        <v>-1.6839999999999999</v>
      </c>
      <c r="CQ43">
        <v>0.77200000000000002</v>
      </c>
      <c r="CR43">
        <v>4.6079999999999997</v>
      </c>
      <c r="CS43">
        <v>4.55</v>
      </c>
      <c r="CT43">
        <v>-0.66300000000000003</v>
      </c>
      <c r="CU43">
        <v>5.6740000000000004</v>
      </c>
      <c r="CV43">
        <v>-4.3099999999999996</v>
      </c>
      <c r="CW43">
        <v>4.75</v>
      </c>
      <c r="CX43">
        <v>5.3730000000000002</v>
      </c>
      <c r="CY43">
        <v>3.3210000000000002</v>
      </c>
      <c r="CZ43">
        <v>5.7350000000000003</v>
      </c>
      <c r="DA43">
        <v>4.2939999999999996</v>
      </c>
      <c r="DB43">
        <v>4.37</v>
      </c>
      <c r="DC43">
        <v>4.0629999999999997</v>
      </c>
      <c r="DD43">
        <v>5.1239999999999997</v>
      </c>
      <c r="DE43">
        <v>-3.5569999999999999</v>
      </c>
      <c r="DF43">
        <v>4.2190000000000003</v>
      </c>
      <c r="DG43">
        <v>5.6289999999999996</v>
      </c>
      <c r="DH43">
        <v>3.8690000000000002</v>
      </c>
      <c r="DI43">
        <v>2.5590000000000002</v>
      </c>
      <c r="DJ43">
        <v>1.6519999999999999</v>
      </c>
      <c r="DK43">
        <v>5.9489999999999998</v>
      </c>
      <c r="DL43">
        <v>3.7829999999999999</v>
      </c>
      <c r="DM43">
        <v>4.1859999999999999</v>
      </c>
      <c r="DN43">
        <v>5.8959999999999999</v>
      </c>
      <c r="DO43">
        <v>4.508</v>
      </c>
      <c r="DP43">
        <v>5.8120000000000003</v>
      </c>
      <c r="DQ43">
        <v>-2.2829999999999999</v>
      </c>
      <c r="DR43">
        <v>6.476</v>
      </c>
      <c r="DS43">
        <v>4.3</v>
      </c>
      <c r="DT43">
        <v>5.82</v>
      </c>
      <c r="DU43">
        <v>6.47</v>
      </c>
      <c r="DV43">
        <v>4.07</v>
      </c>
      <c r="DW43">
        <v>3.9590000000000001</v>
      </c>
      <c r="DX43">
        <v>2.6920000000000002</v>
      </c>
      <c r="DY43">
        <v>5.3540000000000001</v>
      </c>
      <c r="DZ43">
        <v>4.6559999999999997</v>
      </c>
      <c r="EA43">
        <v>4.4340000000000002</v>
      </c>
      <c r="EB43">
        <v>5.4960000000000004</v>
      </c>
      <c r="EC43">
        <v>5.298</v>
      </c>
      <c r="ED43">
        <v>3.5</v>
      </c>
      <c r="EE43">
        <v>4.8689999999999998</v>
      </c>
      <c r="EF43">
        <v>4.7050000000000001</v>
      </c>
      <c r="EG43">
        <v>2.1909999999999998</v>
      </c>
      <c r="EH43">
        <v>6.6749999999999998</v>
      </c>
      <c r="EI43">
        <v>2.8740000000000001</v>
      </c>
      <c r="EJ43">
        <v>-0.40500000000000003</v>
      </c>
      <c r="EK43">
        <v>6.516</v>
      </c>
      <c r="EL43">
        <v>0.127</v>
      </c>
      <c r="EM43">
        <v>5.6619999999999999</v>
      </c>
      <c r="EN43">
        <v>4.3099999999999996</v>
      </c>
      <c r="EO43">
        <v>6.6909999999999998</v>
      </c>
      <c r="EP43">
        <v>1.6339999999999999</v>
      </c>
      <c r="EQ43">
        <v>-1.238</v>
      </c>
      <c r="ER43">
        <v>5.0460000000000003</v>
      </c>
      <c r="ES43">
        <v>4.9740000000000002</v>
      </c>
      <c r="ET43">
        <v>5.234</v>
      </c>
      <c r="EU43">
        <v>4.758</v>
      </c>
      <c r="EV43">
        <v>2.7850000000000001</v>
      </c>
      <c r="EW43">
        <v>4.492</v>
      </c>
      <c r="EX43">
        <v>5.0949999999999998</v>
      </c>
      <c r="EY43">
        <v>3.2010000000000001</v>
      </c>
      <c r="EZ43">
        <v>3.7629999999999999</v>
      </c>
      <c r="FA43">
        <v>5.8979999999999997</v>
      </c>
      <c r="FB43">
        <v>5.7240000000000002</v>
      </c>
      <c r="FC43">
        <v>5.524</v>
      </c>
      <c r="FD43">
        <v>4.4660000000000002</v>
      </c>
      <c r="FE43">
        <v>3.3780000000000001</v>
      </c>
      <c r="FF43">
        <v>3.03</v>
      </c>
      <c r="FG43">
        <v>2.4729999999999999</v>
      </c>
      <c r="FH43">
        <v>1.4079999999999999</v>
      </c>
      <c r="FI43">
        <v>4.6079999999999997</v>
      </c>
      <c r="FJ43">
        <v>3.55</v>
      </c>
      <c r="FK43">
        <v>-0.65300000000000002</v>
      </c>
      <c r="FL43">
        <v>5.2229999999999999</v>
      </c>
      <c r="FM43">
        <v>4.077</v>
      </c>
      <c r="FN43">
        <v>4.3789999999999996</v>
      </c>
      <c r="FO43">
        <v>3.5830000000000002</v>
      </c>
      <c r="FP43">
        <v>3.851</v>
      </c>
      <c r="FQ43">
        <v>2.8279999999999998</v>
      </c>
      <c r="FR43">
        <v>5.0629999999999997</v>
      </c>
      <c r="FS43">
        <v>2.4009999999999998</v>
      </c>
      <c r="FT43">
        <v>5.5949999999999998</v>
      </c>
      <c r="FU43">
        <v>4.9630000000000001</v>
      </c>
      <c r="FV43">
        <v>5.4370000000000003</v>
      </c>
      <c r="FW43">
        <v>4.3499999999999996</v>
      </c>
      <c r="FX43">
        <v>-1.4419999999999999</v>
      </c>
      <c r="FY43">
        <v>5.7160000000000002</v>
      </c>
      <c r="FZ43">
        <v>0.35499999999999998</v>
      </c>
      <c r="GA43">
        <v>-4.6130000000000004</v>
      </c>
      <c r="GB43">
        <v>0.60499999999999998</v>
      </c>
      <c r="GC43">
        <v>5.4359999999999999</v>
      </c>
      <c r="GD43">
        <v>2.5070000000000001</v>
      </c>
      <c r="GE43">
        <v>3.5819999999999999</v>
      </c>
      <c r="GF43">
        <v>4.3440000000000003</v>
      </c>
      <c r="GG43">
        <v>3.452</v>
      </c>
      <c r="GH43">
        <v>4.069</v>
      </c>
      <c r="GI43">
        <v>5.9669999999999996</v>
      </c>
      <c r="GJ43">
        <v>5.835</v>
      </c>
      <c r="GK43">
        <v>4.9649999999999999</v>
      </c>
      <c r="GL43">
        <v>0.56899999999999995</v>
      </c>
      <c r="GM43">
        <v>3.2829999999999999</v>
      </c>
      <c r="GN43">
        <v>5.9720000000000004</v>
      </c>
      <c r="GO43">
        <v>3.5249999999999999</v>
      </c>
      <c r="GP43">
        <v>4.6379999999999999</v>
      </c>
      <c r="GQ43">
        <v>3.1070000000000002</v>
      </c>
      <c r="GR43">
        <v>1.385</v>
      </c>
      <c r="GS43">
        <v>4.4619999999999997</v>
      </c>
      <c r="GT43">
        <v>4.6449999999999996</v>
      </c>
      <c r="GU43">
        <v>-1.24</v>
      </c>
      <c r="GV43">
        <v>5.6619999999999999</v>
      </c>
      <c r="GW43">
        <v>6.4610000000000003</v>
      </c>
      <c r="GX43">
        <v>5.4939999999999998</v>
      </c>
      <c r="GY43">
        <v>4.5170000000000003</v>
      </c>
      <c r="GZ43">
        <v>4.6879999999999997</v>
      </c>
      <c r="HA43">
        <v>3.2040000000000002</v>
      </c>
      <c r="HB43">
        <v>-1.252</v>
      </c>
      <c r="HC43">
        <v>-0.79100000000000004</v>
      </c>
      <c r="HD43">
        <v>4.3150000000000004</v>
      </c>
      <c r="HE43">
        <v>5.4320000000000004</v>
      </c>
      <c r="HF43">
        <v>0.42299999999999999</v>
      </c>
      <c r="HG43">
        <v>4.6429999999999998</v>
      </c>
      <c r="HH43">
        <v>2.5910000000000002</v>
      </c>
      <c r="HI43">
        <v>3.496</v>
      </c>
      <c r="HJ43">
        <v>3.911</v>
      </c>
      <c r="HK43">
        <v>6.1150000000000002</v>
      </c>
      <c r="HL43">
        <v>6.33</v>
      </c>
      <c r="HM43">
        <v>1.046</v>
      </c>
      <c r="HN43">
        <v>4.4029999999999996</v>
      </c>
      <c r="HO43">
        <v>1.254</v>
      </c>
      <c r="HP43">
        <v>5.3819999999999997</v>
      </c>
      <c r="HQ43">
        <v>4.8380000000000001</v>
      </c>
      <c r="HR43">
        <v>0.36299999999999999</v>
      </c>
      <c r="HS43">
        <v>-5.2999999999999999E-2</v>
      </c>
      <c r="HT43">
        <v>3.1659999999999999</v>
      </c>
      <c r="HU43">
        <v>4.0410000000000004</v>
      </c>
      <c r="HV43">
        <v>3.1150000000000002</v>
      </c>
      <c r="HW43">
        <v>4.6829999999999998</v>
      </c>
      <c r="HX43">
        <v>4.1630000000000003</v>
      </c>
      <c r="HY43">
        <v>5.7359999999999998</v>
      </c>
      <c r="HZ43">
        <v>5.1879999999999997</v>
      </c>
      <c r="IA43">
        <v>4.8970000000000002</v>
      </c>
      <c r="IB43">
        <v>4.5529999999999999</v>
      </c>
      <c r="IC43">
        <v>3.464</v>
      </c>
      <c r="ID43">
        <v>2.173</v>
      </c>
      <c r="IE43">
        <v>4.8079999999999998</v>
      </c>
      <c r="IF43">
        <v>5.7480000000000002</v>
      </c>
      <c r="IG43">
        <v>5.8070000000000004</v>
      </c>
      <c r="IH43">
        <v>3.0920000000000001</v>
      </c>
      <c r="II43">
        <v>5.5460000000000003</v>
      </c>
      <c r="IJ43">
        <v>4.2249999999999996</v>
      </c>
      <c r="IK43">
        <v>4.3490000000000002</v>
      </c>
      <c r="IL43">
        <v>6.3129999999999997</v>
      </c>
      <c r="IM43">
        <v>5.3470000000000004</v>
      </c>
      <c r="IN43">
        <v>3.89</v>
      </c>
      <c r="IO43">
        <v>4.1719999999999997</v>
      </c>
      <c r="IP43">
        <v>4.3419999999999996</v>
      </c>
      <c r="IQ43">
        <v>-1.012</v>
      </c>
      <c r="IR43">
        <v>3.5670000000000002</v>
      </c>
      <c r="IS43">
        <v>4.7670000000000003</v>
      </c>
      <c r="IT43">
        <v>5.3630000000000004</v>
      </c>
      <c r="IU43">
        <v>5.0940000000000003</v>
      </c>
      <c r="IV43">
        <v>3.9540000000000002</v>
      </c>
      <c r="IW43">
        <v>0.997</v>
      </c>
      <c r="IX43">
        <v>4.2709999999999999</v>
      </c>
      <c r="IY43">
        <v>4.2130000000000001</v>
      </c>
      <c r="IZ43">
        <v>3.835</v>
      </c>
      <c r="JA43">
        <v>4.6920000000000002</v>
      </c>
      <c r="JB43">
        <v>4.1849999999999996</v>
      </c>
      <c r="JC43">
        <v>4.8899999999999997</v>
      </c>
      <c r="JD43">
        <v>3.6960000000000002</v>
      </c>
      <c r="JE43">
        <v>2.19</v>
      </c>
      <c r="JF43">
        <v>5.1749999999999998</v>
      </c>
      <c r="JG43">
        <v>6.032</v>
      </c>
      <c r="JH43">
        <v>4.3449999999999998</v>
      </c>
      <c r="JI43">
        <v>-0.35699999999999998</v>
      </c>
      <c r="JJ43">
        <v>4.593</v>
      </c>
      <c r="JK43">
        <v>0.187</v>
      </c>
      <c r="JL43">
        <v>4.45</v>
      </c>
      <c r="JM43">
        <v>4.2859999999999996</v>
      </c>
      <c r="JN43">
        <v>4.8479999999999999</v>
      </c>
      <c r="JO43">
        <v>5.3410000000000002</v>
      </c>
      <c r="JP43">
        <v>0.57299999999999995</v>
      </c>
      <c r="JQ43">
        <v>4.2</v>
      </c>
      <c r="JR43">
        <v>4.5730000000000004</v>
      </c>
      <c r="JS43">
        <v>5.343</v>
      </c>
      <c r="JT43">
        <v>4.3479999999999999</v>
      </c>
      <c r="JU43">
        <v>4.7939999999999996</v>
      </c>
      <c r="JV43">
        <v>4.1050000000000004</v>
      </c>
      <c r="JW43">
        <v>5.8360000000000003</v>
      </c>
      <c r="JX43">
        <v>4.97</v>
      </c>
      <c r="JY43">
        <v>1.6080000000000001</v>
      </c>
      <c r="JZ43">
        <v>-0.11899999999999999</v>
      </c>
      <c r="KA43">
        <v>3.85</v>
      </c>
      <c r="KB43">
        <v>4.3380000000000001</v>
      </c>
      <c r="KC43">
        <v>4.4480000000000004</v>
      </c>
      <c r="KD43">
        <v>4.6360000000000001</v>
      </c>
      <c r="KE43">
        <v>1.4770000000000001</v>
      </c>
      <c r="KF43">
        <v>2.7E-2</v>
      </c>
      <c r="KG43">
        <v>5.9969999999999999</v>
      </c>
      <c r="KH43">
        <v>6.1470000000000002</v>
      </c>
      <c r="KI43">
        <v>4.6369999999999996</v>
      </c>
      <c r="KJ43">
        <v>4.3470000000000004</v>
      </c>
      <c r="KK43">
        <v>5.3230000000000004</v>
      </c>
      <c r="KL43">
        <v>1.5920000000000001</v>
      </c>
      <c r="KM43">
        <v>1.069</v>
      </c>
      <c r="KN43">
        <v>4.2320000000000002</v>
      </c>
      <c r="KO43">
        <v>3.2989999999999999</v>
      </c>
      <c r="KP43">
        <v>2.2210000000000001</v>
      </c>
      <c r="KQ43">
        <v>-0.91900000000000004</v>
      </c>
      <c r="KR43">
        <v>-1.042</v>
      </c>
    </row>
    <row r="44" spans="1:304" x14ac:dyDescent="0.25">
      <c r="A44">
        <v>2017</v>
      </c>
      <c r="B44">
        <v>5</v>
      </c>
      <c r="C44">
        <v>0.61499999999999999</v>
      </c>
      <c r="D44">
        <v>10.865</v>
      </c>
      <c r="E44">
        <v>11.836</v>
      </c>
      <c r="F44">
        <v>11.585000000000001</v>
      </c>
      <c r="G44">
        <v>11.888</v>
      </c>
      <c r="H44">
        <v>11.662000000000001</v>
      </c>
      <c r="I44">
        <v>3.4660000000000002</v>
      </c>
      <c r="J44">
        <v>3.8210000000000002</v>
      </c>
      <c r="K44">
        <v>11.294</v>
      </c>
      <c r="L44">
        <v>11.340999999999999</v>
      </c>
      <c r="M44">
        <v>10.208</v>
      </c>
      <c r="N44">
        <v>11.534000000000001</v>
      </c>
      <c r="O44">
        <v>6.157</v>
      </c>
      <c r="P44">
        <v>12.43</v>
      </c>
      <c r="Q44">
        <v>5.9089999999999998</v>
      </c>
      <c r="R44">
        <v>11.615</v>
      </c>
      <c r="S44">
        <v>9.2880000000000003</v>
      </c>
      <c r="T44">
        <v>11.16</v>
      </c>
      <c r="U44">
        <v>10.081</v>
      </c>
      <c r="V44">
        <v>11.404999999999999</v>
      </c>
      <c r="W44">
        <v>10.581</v>
      </c>
      <c r="X44">
        <v>12.249000000000001</v>
      </c>
      <c r="Y44">
        <v>11.984999999999999</v>
      </c>
      <c r="Z44">
        <v>7.3460000000000001</v>
      </c>
      <c r="AA44">
        <v>12.757999999999999</v>
      </c>
      <c r="AB44">
        <v>12.066000000000001</v>
      </c>
      <c r="AC44">
        <v>10.898999999999999</v>
      </c>
      <c r="AD44">
        <v>11.263</v>
      </c>
      <c r="AE44">
        <v>10.923</v>
      </c>
      <c r="AF44">
        <v>11.263</v>
      </c>
      <c r="AG44">
        <v>8.6940000000000008</v>
      </c>
      <c r="AH44">
        <v>6.5629999999999997</v>
      </c>
      <c r="AI44">
        <v>8.9380000000000006</v>
      </c>
      <c r="AJ44">
        <v>11.276999999999999</v>
      </c>
      <c r="AK44">
        <v>11.75</v>
      </c>
      <c r="AL44">
        <v>10.795</v>
      </c>
      <c r="AM44">
        <v>11.467000000000001</v>
      </c>
      <c r="AN44">
        <v>12.478999999999999</v>
      </c>
      <c r="AO44">
        <v>11.647</v>
      </c>
      <c r="AP44">
        <v>10.351000000000001</v>
      </c>
      <c r="AQ44">
        <v>11.868</v>
      </c>
      <c r="AR44">
        <v>11.089</v>
      </c>
      <c r="AS44">
        <v>11.141999999999999</v>
      </c>
      <c r="AT44">
        <v>10.122</v>
      </c>
      <c r="AU44">
        <v>10.462999999999999</v>
      </c>
      <c r="AV44">
        <v>9.4429999999999996</v>
      </c>
      <c r="AW44">
        <v>11.619</v>
      </c>
      <c r="AX44">
        <v>11.254</v>
      </c>
      <c r="AY44">
        <v>11.545</v>
      </c>
      <c r="AZ44">
        <v>6.03</v>
      </c>
      <c r="BA44">
        <v>11.398999999999999</v>
      </c>
      <c r="BB44">
        <v>6.1520000000000001</v>
      </c>
      <c r="BC44">
        <v>9.6679999999999993</v>
      </c>
      <c r="BD44">
        <v>11.695</v>
      </c>
      <c r="BE44">
        <v>10.670999999999999</v>
      </c>
      <c r="BF44">
        <v>11.638999999999999</v>
      </c>
      <c r="BG44">
        <v>5.7430000000000003</v>
      </c>
      <c r="BH44">
        <v>2.6680000000000001</v>
      </c>
      <c r="BI44">
        <v>9.359</v>
      </c>
      <c r="BJ44">
        <v>12.182</v>
      </c>
      <c r="BK44">
        <v>11.766999999999999</v>
      </c>
      <c r="BL44">
        <v>10.894</v>
      </c>
      <c r="BM44">
        <v>10.525</v>
      </c>
      <c r="BN44">
        <v>11.577999999999999</v>
      </c>
      <c r="BO44">
        <v>11.170999999999999</v>
      </c>
      <c r="BP44">
        <v>12.223000000000001</v>
      </c>
      <c r="BQ44">
        <v>7.6059999999999999</v>
      </c>
      <c r="BR44">
        <v>10.170999999999999</v>
      </c>
      <c r="BS44">
        <v>9.9480000000000004</v>
      </c>
      <c r="BT44">
        <v>4.28</v>
      </c>
      <c r="BU44">
        <v>6.3650000000000002</v>
      </c>
      <c r="BV44">
        <v>10.054</v>
      </c>
      <c r="BW44">
        <v>12.297000000000001</v>
      </c>
      <c r="BX44">
        <v>2.4060000000000001</v>
      </c>
      <c r="BY44">
        <v>10.117000000000001</v>
      </c>
      <c r="BZ44">
        <v>11.614000000000001</v>
      </c>
      <c r="CA44">
        <v>10.641999999999999</v>
      </c>
      <c r="CB44">
        <v>9.6379999999999999</v>
      </c>
      <c r="CC44">
        <v>11.621</v>
      </c>
      <c r="CD44">
        <v>10.587999999999999</v>
      </c>
      <c r="CE44">
        <v>8.4390000000000001</v>
      </c>
      <c r="CF44">
        <v>11.497999999999999</v>
      </c>
      <c r="CG44">
        <v>11.775</v>
      </c>
      <c r="CH44">
        <v>10.365</v>
      </c>
      <c r="CI44">
        <v>7.4850000000000003</v>
      </c>
      <c r="CJ44">
        <v>12.105</v>
      </c>
      <c r="CK44">
        <v>12.073</v>
      </c>
      <c r="CL44">
        <v>11.919</v>
      </c>
      <c r="CM44">
        <v>11.689</v>
      </c>
      <c r="CN44">
        <v>12.141999999999999</v>
      </c>
      <c r="CO44">
        <v>12.223000000000001</v>
      </c>
      <c r="CP44">
        <v>3.95</v>
      </c>
      <c r="CQ44">
        <v>7.2930000000000001</v>
      </c>
      <c r="CR44">
        <v>11.147</v>
      </c>
      <c r="CS44">
        <v>11.342000000000001</v>
      </c>
      <c r="CT44">
        <v>4.6139999999999999</v>
      </c>
      <c r="CU44">
        <v>11.154</v>
      </c>
      <c r="CV44">
        <v>1.839</v>
      </c>
      <c r="CW44">
        <v>10.808999999999999</v>
      </c>
      <c r="CX44">
        <v>11.532</v>
      </c>
      <c r="CY44">
        <v>10.901999999999999</v>
      </c>
      <c r="CZ44">
        <v>11.673</v>
      </c>
      <c r="DA44">
        <v>10.868</v>
      </c>
      <c r="DB44">
        <v>11.481999999999999</v>
      </c>
      <c r="DC44">
        <v>11.46</v>
      </c>
      <c r="DD44">
        <v>11.962999999999999</v>
      </c>
      <c r="DE44">
        <v>1.915</v>
      </c>
      <c r="DF44">
        <v>11.131</v>
      </c>
      <c r="DG44">
        <v>12.236000000000001</v>
      </c>
      <c r="DH44">
        <v>10.436999999999999</v>
      </c>
      <c r="DI44">
        <v>10.106</v>
      </c>
      <c r="DJ44">
        <v>7.7670000000000003</v>
      </c>
      <c r="DK44">
        <v>12.379</v>
      </c>
      <c r="DL44">
        <v>10.815</v>
      </c>
      <c r="DM44">
        <v>11.659000000000001</v>
      </c>
      <c r="DN44">
        <v>12.069000000000001</v>
      </c>
      <c r="DO44">
        <v>11.596</v>
      </c>
      <c r="DP44">
        <v>11.927</v>
      </c>
      <c r="DQ44">
        <v>3.1190000000000002</v>
      </c>
      <c r="DR44">
        <v>12.599</v>
      </c>
      <c r="DS44">
        <v>11.417</v>
      </c>
      <c r="DT44">
        <v>12.311</v>
      </c>
      <c r="DU44">
        <v>12.209</v>
      </c>
      <c r="DV44">
        <v>11.563000000000001</v>
      </c>
      <c r="DW44">
        <v>11.510999999999999</v>
      </c>
      <c r="DX44">
        <v>9.6929999999999996</v>
      </c>
      <c r="DY44">
        <v>11.742000000000001</v>
      </c>
      <c r="DZ44">
        <v>11.683999999999999</v>
      </c>
      <c r="EA44">
        <v>10.781000000000001</v>
      </c>
      <c r="EB44">
        <v>11.798</v>
      </c>
      <c r="EC44">
        <v>11.576000000000001</v>
      </c>
      <c r="ED44">
        <v>11.041</v>
      </c>
      <c r="EE44">
        <v>11.866</v>
      </c>
      <c r="EF44">
        <v>11.882</v>
      </c>
      <c r="EG44">
        <v>8.8360000000000003</v>
      </c>
      <c r="EH44">
        <v>12.722</v>
      </c>
      <c r="EI44">
        <v>10.234999999999999</v>
      </c>
      <c r="EJ44">
        <v>5.1749999999999998</v>
      </c>
      <c r="EK44">
        <v>12.680999999999999</v>
      </c>
      <c r="EL44">
        <v>6.3079999999999998</v>
      </c>
      <c r="EM44">
        <v>11.429</v>
      </c>
      <c r="EN44">
        <v>11.436999999999999</v>
      </c>
      <c r="EO44">
        <v>12.756</v>
      </c>
      <c r="EP44">
        <v>8.8740000000000006</v>
      </c>
      <c r="EQ44">
        <v>4.6719999999999997</v>
      </c>
      <c r="ER44">
        <v>11.602</v>
      </c>
      <c r="ES44">
        <v>11.84</v>
      </c>
      <c r="ET44">
        <v>11.117000000000001</v>
      </c>
      <c r="EU44">
        <v>11.906000000000001</v>
      </c>
      <c r="EV44">
        <v>9.74</v>
      </c>
      <c r="EW44">
        <v>11.443</v>
      </c>
      <c r="EX44">
        <v>11.69</v>
      </c>
      <c r="EY44">
        <v>10.625999999999999</v>
      </c>
      <c r="EZ44">
        <v>10.298999999999999</v>
      </c>
      <c r="FA44">
        <v>12.188000000000001</v>
      </c>
      <c r="FB44">
        <v>11.308</v>
      </c>
      <c r="FC44">
        <v>10.863</v>
      </c>
      <c r="FD44">
        <v>10.818</v>
      </c>
      <c r="FE44">
        <v>10.866</v>
      </c>
      <c r="FF44">
        <v>10.009</v>
      </c>
      <c r="FG44">
        <v>8.2469999999999999</v>
      </c>
      <c r="FH44">
        <v>6.7960000000000003</v>
      </c>
      <c r="FI44">
        <v>11.393000000000001</v>
      </c>
      <c r="FJ44">
        <v>9.327</v>
      </c>
      <c r="FK44">
        <v>5.2069999999999999</v>
      </c>
      <c r="FL44">
        <v>11.749000000000001</v>
      </c>
      <c r="FM44">
        <v>10.742000000000001</v>
      </c>
      <c r="FN44">
        <v>10.74</v>
      </c>
      <c r="FO44">
        <v>9.0709999999999997</v>
      </c>
      <c r="FP44">
        <v>11.125999999999999</v>
      </c>
      <c r="FQ44">
        <v>9.1219999999999999</v>
      </c>
      <c r="FR44">
        <v>12.089</v>
      </c>
      <c r="FS44">
        <v>9.3279999999999994</v>
      </c>
      <c r="FT44">
        <v>11.73</v>
      </c>
      <c r="FU44">
        <v>11.951000000000001</v>
      </c>
      <c r="FV44">
        <v>10.933</v>
      </c>
      <c r="FW44">
        <v>9.8770000000000007</v>
      </c>
      <c r="FX44">
        <v>3.5739999999999998</v>
      </c>
      <c r="FY44">
        <v>12.034000000000001</v>
      </c>
      <c r="FZ44">
        <v>5.827</v>
      </c>
      <c r="GA44">
        <v>0.40200000000000002</v>
      </c>
      <c r="GB44">
        <v>6.056</v>
      </c>
      <c r="GC44">
        <v>11.506</v>
      </c>
      <c r="GD44">
        <v>9.3879999999999999</v>
      </c>
      <c r="GE44">
        <v>10.396000000000001</v>
      </c>
      <c r="GF44">
        <v>10.936999999999999</v>
      </c>
      <c r="GG44">
        <v>9.8149999999999995</v>
      </c>
      <c r="GH44">
        <v>10.775</v>
      </c>
      <c r="GI44">
        <v>10.83</v>
      </c>
      <c r="GJ44">
        <v>12.135999999999999</v>
      </c>
      <c r="GK44">
        <v>11.771000000000001</v>
      </c>
      <c r="GL44">
        <v>6.0449999999999999</v>
      </c>
      <c r="GM44">
        <v>10.404999999999999</v>
      </c>
      <c r="GN44">
        <v>11.936</v>
      </c>
      <c r="GO44">
        <v>8.9450000000000003</v>
      </c>
      <c r="GP44">
        <v>11.536</v>
      </c>
      <c r="GQ44">
        <v>10.356999999999999</v>
      </c>
      <c r="GR44">
        <v>7.9749999999999996</v>
      </c>
      <c r="GS44">
        <v>11.021000000000001</v>
      </c>
      <c r="GT44">
        <v>11.112</v>
      </c>
      <c r="GU44">
        <v>4.8940000000000001</v>
      </c>
      <c r="GV44">
        <v>10.98</v>
      </c>
      <c r="GW44">
        <v>12.641</v>
      </c>
      <c r="GX44">
        <v>11.648999999999999</v>
      </c>
      <c r="GY44">
        <v>10.964</v>
      </c>
      <c r="GZ44">
        <v>11.189</v>
      </c>
      <c r="HA44">
        <v>10.723000000000001</v>
      </c>
      <c r="HB44">
        <v>3.9329999999999998</v>
      </c>
      <c r="HC44">
        <v>5.2690000000000001</v>
      </c>
      <c r="HD44">
        <v>11.183</v>
      </c>
      <c r="HE44">
        <v>11.555</v>
      </c>
      <c r="HF44">
        <v>6.5990000000000002</v>
      </c>
      <c r="HG44">
        <v>11.146000000000001</v>
      </c>
      <c r="HH44">
        <v>8.2029999999999994</v>
      </c>
      <c r="HI44">
        <v>10.81</v>
      </c>
      <c r="HJ44">
        <v>10.942</v>
      </c>
      <c r="HK44">
        <v>12.414</v>
      </c>
      <c r="HL44">
        <v>12.603999999999999</v>
      </c>
      <c r="HM44">
        <v>7.5279999999999996</v>
      </c>
      <c r="HN44">
        <v>11.553000000000001</v>
      </c>
      <c r="HO44">
        <v>7.1909999999999998</v>
      </c>
      <c r="HP44">
        <v>11.41</v>
      </c>
      <c r="HQ44">
        <v>11.37</v>
      </c>
      <c r="HR44">
        <v>7.4809999999999999</v>
      </c>
      <c r="HS44">
        <v>6.8479999999999999</v>
      </c>
      <c r="HT44">
        <v>10.044</v>
      </c>
      <c r="HU44">
        <v>11.359</v>
      </c>
      <c r="HV44">
        <v>8.4890000000000008</v>
      </c>
      <c r="HW44">
        <v>11.404</v>
      </c>
      <c r="HX44">
        <v>10.807</v>
      </c>
      <c r="HY44">
        <v>11.477</v>
      </c>
      <c r="HZ44">
        <v>11.622</v>
      </c>
      <c r="IA44">
        <v>11.808999999999999</v>
      </c>
      <c r="IB44">
        <v>11.407</v>
      </c>
      <c r="IC44">
        <v>9.625</v>
      </c>
      <c r="ID44">
        <v>8.0939999999999994</v>
      </c>
      <c r="IE44">
        <v>11.785</v>
      </c>
      <c r="IF44">
        <v>11.164999999999999</v>
      </c>
      <c r="IG44">
        <v>11.760999999999999</v>
      </c>
      <c r="IH44">
        <v>10.756</v>
      </c>
      <c r="II44">
        <v>11.616</v>
      </c>
      <c r="IJ44">
        <v>11.505000000000001</v>
      </c>
      <c r="IK44">
        <v>11.678000000000001</v>
      </c>
      <c r="IL44">
        <v>11.632999999999999</v>
      </c>
      <c r="IM44">
        <v>11.599</v>
      </c>
      <c r="IN44">
        <v>10.007999999999999</v>
      </c>
      <c r="IO44">
        <v>10.353</v>
      </c>
      <c r="IP44">
        <v>10.798</v>
      </c>
      <c r="IQ44">
        <v>5.165</v>
      </c>
      <c r="IR44">
        <v>10.193</v>
      </c>
      <c r="IS44">
        <v>11.965</v>
      </c>
      <c r="IT44">
        <v>11.664</v>
      </c>
      <c r="IU44">
        <v>11.714</v>
      </c>
      <c r="IV44">
        <v>11.045999999999999</v>
      </c>
      <c r="IW44">
        <v>6.5229999999999997</v>
      </c>
      <c r="IX44">
        <v>10.933</v>
      </c>
      <c r="IY44">
        <v>10.795999999999999</v>
      </c>
      <c r="IZ44">
        <v>10.426</v>
      </c>
      <c r="JA44">
        <v>11.162000000000001</v>
      </c>
      <c r="JB44">
        <v>11.548</v>
      </c>
      <c r="JC44">
        <v>11.000999999999999</v>
      </c>
      <c r="JD44">
        <v>10.061999999999999</v>
      </c>
      <c r="JE44">
        <v>9.6839999999999993</v>
      </c>
      <c r="JF44">
        <v>11.678000000000001</v>
      </c>
      <c r="JG44">
        <v>11.81</v>
      </c>
      <c r="JH44">
        <v>11.516</v>
      </c>
      <c r="JI44">
        <v>6.1059999999999999</v>
      </c>
      <c r="JJ44">
        <v>11.332000000000001</v>
      </c>
      <c r="JK44">
        <v>6.2080000000000002</v>
      </c>
      <c r="JL44">
        <v>11.663</v>
      </c>
      <c r="JM44">
        <v>9.8030000000000008</v>
      </c>
      <c r="JN44">
        <v>11.555999999999999</v>
      </c>
      <c r="JO44">
        <v>11.5</v>
      </c>
      <c r="JP44">
        <v>6.31</v>
      </c>
      <c r="JQ44">
        <v>10.266</v>
      </c>
      <c r="JR44">
        <v>12.015000000000001</v>
      </c>
      <c r="JS44">
        <v>10.598000000000001</v>
      </c>
      <c r="JT44">
        <v>11.234999999999999</v>
      </c>
      <c r="JU44">
        <v>11.923999999999999</v>
      </c>
      <c r="JV44">
        <v>11.14</v>
      </c>
      <c r="JW44">
        <v>11.087999999999999</v>
      </c>
      <c r="JX44">
        <v>11.24</v>
      </c>
      <c r="JY44">
        <v>8.0649999999999995</v>
      </c>
      <c r="JZ44">
        <v>5.0789999999999997</v>
      </c>
      <c r="KA44">
        <v>10.766</v>
      </c>
      <c r="KB44">
        <v>11.374000000000001</v>
      </c>
      <c r="KC44">
        <v>11.276</v>
      </c>
      <c r="KD44">
        <v>11.835000000000001</v>
      </c>
      <c r="KE44">
        <v>8.4920000000000009</v>
      </c>
      <c r="KF44">
        <v>6.0289999999999999</v>
      </c>
      <c r="KG44">
        <v>12.311</v>
      </c>
      <c r="KH44">
        <v>11.326000000000001</v>
      </c>
      <c r="KI44">
        <v>11.250999999999999</v>
      </c>
      <c r="KJ44">
        <v>11.712999999999999</v>
      </c>
      <c r="KK44">
        <v>12.061999999999999</v>
      </c>
      <c r="KL44">
        <v>7.1879999999999997</v>
      </c>
      <c r="KM44">
        <v>6.8140000000000001</v>
      </c>
      <c r="KN44">
        <v>10.425000000000001</v>
      </c>
      <c r="KO44">
        <v>8.9</v>
      </c>
      <c r="KP44">
        <v>9.7439999999999998</v>
      </c>
      <c r="KQ44">
        <v>4.8179999999999996</v>
      </c>
      <c r="KR44">
        <v>4.6619999999999999</v>
      </c>
    </row>
    <row r="45" spans="1:304" x14ac:dyDescent="0.25">
      <c r="A45">
        <v>2017</v>
      </c>
      <c r="B45">
        <v>6</v>
      </c>
      <c r="C45">
        <v>8.2539999999999996</v>
      </c>
      <c r="D45">
        <v>15.05</v>
      </c>
      <c r="E45">
        <v>15.266999999999999</v>
      </c>
      <c r="F45">
        <v>14.872999999999999</v>
      </c>
      <c r="G45">
        <v>14.535</v>
      </c>
      <c r="H45">
        <v>15.113</v>
      </c>
      <c r="I45">
        <v>10.821</v>
      </c>
      <c r="J45">
        <v>10.901</v>
      </c>
      <c r="K45">
        <v>14.705</v>
      </c>
      <c r="L45">
        <v>14.625999999999999</v>
      </c>
      <c r="M45">
        <v>14.260999999999999</v>
      </c>
      <c r="N45">
        <v>14.837999999999999</v>
      </c>
      <c r="O45">
        <v>11.872999999999999</v>
      </c>
      <c r="P45">
        <v>15.276</v>
      </c>
      <c r="Q45">
        <v>12.512</v>
      </c>
      <c r="R45">
        <v>14.688000000000001</v>
      </c>
      <c r="S45">
        <v>13.327</v>
      </c>
      <c r="T45">
        <v>15.657</v>
      </c>
      <c r="U45">
        <v>13.523</v>
      </c>
      <c r="V45">
        <v>14.372</v>
      </c>
      <c r="W45">
        <v>14.802</v>
      </c>
      <c r="X45">
        <v>14.845000000000001</v>
      </c>
      <c r="Y45">
        <v>15.19</v>
      </c>
      <c r="Z45">
        <v>11.677</v>
      </c>
      <c r="AA45">
        <v>15.842000000000001</v>
      </c>
      <c r="AB45">
        <v>15.205</v>
      </c>
      <c r="AC45">
        <v>14.404999999999999</v>
      </c>
      <c r="AD45">
        <v>14.749000000000001</v>
      </c>
      <c r="AE45">
        <v>15.077</v>
      </c>
      <c r="AF45">
        <v>14.497999999999999</v>
      </c>
      <c r="AG45">
        <v>12.869</v>
      </c>
      <c r="AH45">
        <v>11.686999999999999</v>
      </c>
      <c r="AI45">
        <v>12.664999999999999</v>
      </c>
      <c r="AJ45">
        <v>14.021000000000001</v>
      </c>
      <c r="AK45">
        <v>14.721</v>
      </c>
      <c r="AL45">
        <v>14.73</v>
      </c>
      <c r="AM45">
        <v>15.11</v>
      </c>
      <c r="AN45">
        <v>15.321</v>
      </c>
      <c r="AO45">
        <v>14.989000000000001</v>
      </c>
      <c r="AP45">
        <v>13.994999999999999</v>
      </c>
      <c r="AQ45">
        <v>15.167999999999999</v>
      </c>
      <c r="AR45">
        <v>14.154999999999999</v>
      </c>
      <c r="AS45">
        <v>15.007</v>
      </c>
      <c r="AT45">
        <v>13.757999999999999</v>
      </c>
      <c r="AU45">
        <v>13.811</v>
      </c>
      <c r="AV45">
        <v>14.176</v>
      </c>
      <c r="AW45">
        <v>14.992000000000001</v>
      </c>
      <c r="AX45">
        <v>14.959</v>
      </c>
      <c r="AY45">
        <v>14.907999999999999</v>
      </c>
      <c r="AZ45">
        <v>11.31</v>
      </c>
      <c r="BA45">
        <v>14.851000000000001</v>
      </c>
      <c r="BB45">
        <v>11.129</v>
      </c>
      <c r="BC45">
        <v>13.099</v>
      </c>
      <c r="BD45">
        <v>14.477</v>
      </c>
      <c r="BE45">
        <v>14.872</v>
      </c>
      <c r="BF45">
        <v>15.183999999999999</v>
      </c>
      <c r="BG45">
        <v>11.198</v>
      </c>
      <c r="BH45">
        <v>10.715</v>
      </c>
      <c r="BI45">
        <v>13.808999999999999</v>
      </c>
      <c r="BJ45">
        <v>15.565</v>
      </c>
      <c r="BK45">
        <v>15.196999999999999</v>
      </c>
      <c r="BL45">
        <v>15.03</v>
      </c>
      <c r="BM45">
        <v>13.887</v>
      </c>
      <c r="BN45">
        <v>14.676</v>
      </c>
      <c r="BO45">
        <v>14.782</v>
      </c>
      <c r="BP45">
        <v>15.292999999999999</v>
      </c>
      <c r="BQ45">
        <v>11.801</v>
      </c>
      <c r="BR45">
        <v>14.265000000000001</v>
      </c>
      <c r="BS45">
        <v>14.416</v>
      </c>
      <c r="BT45">
        <v>11.811999999999999</v>
      </c>
      <c r="BU45">
        <v>10.238</v>
      </c>
      <c r="BV45">
        <v>13.994999999999999</v>
      </c>
      <c r="BW45">
        <v>15.420999999999999</v>
      </c>
      <c r="BX45">
        <v>9.3989999999999991</v>
      </c>
      <c r="BY45">
        <v>14.654999999999999</v>
      </c>
      <c r="BZ45">
        <v>14.785</v>
      </c>
      <c r="CA45">
        <v>14.222</v>
      </c>
      <c r="CB45">
        <v>13.657</v>
      </c>
      <c r="CC45">
        <v>14.875</v>
      </c>
      <c r="CD45">
        <v>14.788</v>
      </c>
      <c r="CE45">
        <v>13.090999999999999</v>
      </c>
      <c r="CF45">
        <v>14.922000000000001</v>
      </c>
      <c r="CG45">
        <v>14.682</v>
      </c>
      <c r="CH45">
        <v>13.715999999999999</v>
      </c>
      <c r="CI45">
        <v>12.239000000000001</v>
      </c>
      <c r="CJ45">
        <v>15.273</v>
      </c>
      <c r="CK45">
        <v>14.68</v>
      </c>
      <c r="CL45">
        <v>15.237</v>
      </c>
      <c r="CM45">
        <v>15.327999999999999</v>
      </c>
      <c r="CN45">
        <v>14.843</v>
      </c>
      <c r="CO45">
        <v>14.913</v>
      </c>
      <c r="CP45">
        <v>12.032</v>
      </c>
      <c r="CQ45">
        <v>12.148999999999999</v>
      </c>
      <c r="CR45">
        <v>15.305</v>
      </c>
      <c r="CS45">
        <v>14.537000000000001</v>
      </c>
      <c r="CT45">
        <v>12.385999999999999</v>
      </c>
      <c r="CU45">
        <v>15.510999999999999</v>
      </c>
      <c r="CV45">
        <v>9.9030000000000005</v>
      </c>
      <c r="CW45">
        <v>14.596</v>
      </c>
      <c r="CX45">
        <v>14.917999999999999</v>
      </c>
      <c r="CY45">
        <v>14.18</v>
      </c>
      <c r="CZ45">
        <v>14.967000000000001</v>
      </c>
      <c r="DA45">
        <v>14.637</v>
      </c>
      <c r="DB45">
        <v>15.061</v>
      </c>
      <c r="DC45">
        <v>14.821999999999999</v>
      </c>
      <c r="DD45">
        <v>14.888999999999999</v>
      </c>
      <c r="DE45">
        <v>10.340999999999999</v>
      </c>
      <c r="DF45">
        <v>14.581</v>
      </c>
      <c r="DG45">
        <v>14.962</v>
      </c>
      <c r="DH45">
        <v>14.69</v>
      </c>
      <c r="DI45">
        <v>13.292</v>
      </c>
      <c r="DJ45">
        <v>12.691000000000001</v>
      </c>
      <c r="DK45">
        <v>15.282</v>
      </c>
      <c r="DL45">
        <v>14.417999999999999</v>
      </c>
      <c r="DM45">
        <v>14.737</v>
      </c>
      <c r="DN45">
        <v>15.359</v>
      </c>
      <c r="DO45">
        <v>15.111000000000001</v>
      </c>
      <c r="DP45">
        <v>15.347</v>
      </c>
      <c r="DQ45">
        <v>10.403</v>
      </c>
      <c r="DR45">
        <v>15.638999999999999</v>
      </c>
      <c r="DS45">
        <v>14.882999999999999</v>
      </c>
      <c r="DT45">
        <v>15.273999999999999</v>
      </c>
      <c r="DU45">
        <v>15.545</v>
      </c>
      <c r="DV45">
        <v>14.752000000000001</v>
      </c>
      <c r="DW45">
        <v>14.593</v>
      </c>
      <c r="DX45">
        <v>13.31</v>
      </c>
      <c r="DY45">
        <v>14.957000000000001</v>
      </c>
      <c r="DZ45">
        <v>14.462</v>
      </c>
      <c r="EA45">
        <v>14.94</v>
      </c>
      <c r="EB45">
        <v>15.423</v>
      </c>
      <c r="EC45">
        <v>15.215999999999999</v>
      </c>
      <c r="ED45">
        <v>14.333</v>
      </c>
      <c r="EE45">
        <v>15.141999999999999</v>
      </c>
      <c r="EF45">
        <v>14.74</v>
      </c>
      <c r="EG45">
        <v>12.772</v>
      </c>
      <c r="EH45">
        <v>15.826000000000001</v>
      </c>
      <c r="EI45">
        <v>13.443</v>
      </c>
      <c r="EJ45">
        <v>12.039</v>
      </c>
      <c r="EK45">
        <v>15.654</v>
      </c>
      <c r="EL45">
        <v>12.084</v>
      </c>
      <c r="EM45">
        <v>15.054</v>
      </c>
      <c r="EN45">
        <v>14.494</v>
      </c>
      <c r="EO45">
        <v>15.914</v>
      </c>
      <c r="EP45">
        <v>12.464</v>
      </c>
      <c r="EQ45">
        <v>11.356</v>
      </c>
      <c r="ER45">
        <v>15.209</v>
      </c>
      <c r="ES45">
        <v>14.436999999999999</v>
      </c>
      <c r="ET45">
        <v>14.773</v>
      </c>
      <c r="EU45">
        <v>14.863</v>
      </c>
      <c r="EV45">
        <v>13.704000000000001</v>
      </c>
      <c r="EW45">
        <v>14.711</v>
      </c>
      <c r="EX45">
        <v>15.081</v>
      </c>
      <c r="EY45">
        <v>14.089</v>
      </c>
      <c r="EZ45">
        <v>14.571999999999999</v>
      </c>
      <c r="FA45">
        <v>15.445</v>
      </c>
      <c r="FB45">
        <v>15.733000000000001</v>
      </c>
      <c r="FC45">
        <v>15.189</v>
      </c>
      <c r="FD45">
        <v>14.968999999999999</v>
      </c>
      <c r="FE45">
        <v>14.191000000000001</v>
      </c>
      <c r="FF45">
        <v>13.523</v>
      </c>
      <c r="FG45">
        <v>12.779</v>
      </c>
      <c r="FH45">
        <v>12.425000000000001</v>
      </c>
      <c r="FI45">
        <v>15.098000000000001</v>
      </c>
      <c r="FJ45">
        <v>14.169</v>
      </c>
      <c r="FK45">
        <v>11.523</v>
      </c>
      <c r="FL45">
        <v>15.217000000000001</v>
      </c>
      <c r="FM45">
        <v>14.91</v>
      </c>
      <c r="FN45">
        <v>15.032</v>
      </c>
      <c r="FO45">
        <v>13.957000000000001</v>
      </c>
      <c r="FP45">
        <v>13.798</v>
      </c>
      <c r="FQ45">
        <v>13.352</v>
      </c>
      <c r="FR45">
        <v>14.977</v>
      </c>
      <c r="FS45">
        <v>13.247999999999999</v>
      </c>
      <c r="FT45">
        <v>15.249000000000001</v>
      </c>
      <c r="FU45">
        <v>14.6</v>
      </c>
      <c r="FV45">
        <v>15.298999999999999</v>
      </c>
      <c r="FW45">
        <v>14.563000000000001</v>
      </c>
      <c r="FX45">
        <v>11.363</v>
      </c>
      <c r="FY45">
        <v>15.255000000000001</v>
      </c>
      <c r="FZ45">
        <v>12.494</v>
      </c>
      <c r="GA45">
        <v>7.508</v>
      </c>
      <c r="GB45">
        <v>12.45</v>
      </c>
      <c r="GC45">
        <v>14.878</v>
      </c>
      <c r="GD45">
        <v>13.208</v>
      </c>
      <c r="GE45">
        <v>14.198</v>
      </c>
      <c r="GF45">
        <v>15.098000000000001</v>
      </c>
      <c r="GG45">
        <v>13.954000000000001</v>
      </c>
      <c r="GH45">
        <v>14.945</v>
      </c>
      <c r="GI45">
        <v>14.675000000000001</v>
      </c>
      <c r="GJ45">
        <v>15.069000000000001</v>
      </c>
      <c r="GK45">
        <v>14.976000000000001</v>
      </c>
      <c r="GL45">
        <v>12.478999999999999</v>
      </c>
      <c r="GM45">
        <v>13.805999999999999</v>
      </c>
      <c r="GN45">
        <v>14.992000000000001</v>
      </c>
      <c r="GO45">
        <v>13.706</v>
      </c>
      <c r="GP45">
        <v>14.717000000000001</v>
      </c>
      <c r="GQ45">
        <v>13.673</v>
      </c>
      <c r="GR45">
        <v>12.654999999999999</v>
      </c>
      <c r="GS45">
        <v>15.19</v>
      </c>
      <c r="GT45">
        <v>15.252000000000001</v>
      </c>
      <c r="GU45">
        <v>11.634</v>
      </c>
      <c r="GV45">
        <v>14.763</v>
      </c>
      <c r="GW45">
        <v>15.595000000000001</v>
      </c>
      <c r="GX45">
        <v>15.178000000000001</v>
      </c>
      <c r="GY45">
        <v>15.098000000000001</v>
      </c>
      <c r="GZ45">
        <v>15.327</v>
      </c>
      <c r="HA45">
        <v>14.064</v>
      </c>
      <c r="HB45">
        <v>9.125</v>
      </c>
      <c r="HC45">
        <v>11.384</v>
      </c>
      <c r="HD45">
        <v>15.081</v>
      </c>
      <c r="HE45">
        <v>15.226000000000001</v>
      </c>
      <c r="HF45">
        <v>11.506</v>
      </c>
      <c r="HG45">
        <v>15.294</v>
      </c>
      <c r="HH45">
        <v>12.834</v>
      </c>
      <c r="HI45">
        <v>14.134</v>
      </c>
      <c r="HJ45">
        <v>14.590999999999999</v>
      </c>
      <c r="HK45">
        <v>15.333</v>
      </c>
      <c r="HL45">
        <v>15.568</v>
      </c>
      <c r="HM45">
        <v>11.403</v>
      </c>
      <c r="HN45">
        <v>14.423999999999999</v>
      </c>
      <c r="HO45">
        <v>11.356999999999999</v>
      </c>
      <c r="HP45">
        <v>15.153</v>
      </c>
      <c r="HQ45">
        <v>14.968999999999999</v>
      </c>
      <c r="HR45">
        <v>11.404</v>
      </c>
      <c r="HS45">
        <v>10.904999999999999</v>
      </c>
      <c r="HT45">
        <v>13.721</v>
      </c>
      <c r="HU45">
        <v>13.974</v>
      </c>
      <c r="HV45">
        <v>12.976000000000001</v>
      </c>
      <c r="HW45">
        <v>15.289</v>
      </c>
      <c r="HX45">
        <v>14.997999999999999</v>
      </c>
      <c r="HY45">
        <v>14.935</v>
      </c>
      <c r="HZ45">
        <v>15.035</v>
      </c>
      <c r="IA45">
        <v>14.975</v>
      </c>
      <c r="IB45">
        <v>14.417</v>
      </c>
      <c r="IC45">
        <v>14.23</v>
      </c>
      <c r="ID45">
        <v>12.778</v>
      </c>
      <c r="IE45">
        <v>14.677</v>
      </c>
      <c r="IF45">
        <v>14.958</v>
      </c>
      <c r="IG45">
        <v>14.872</v>
      </c>
      <c r="IH45">
        <v>14.252000000000001</v>
      </c>
      <c r="II45">
        <v>15.35</v>
      </c>
      <c r="IJ45">
        <v>14.321</v>
      </c>
      <c r="IK45">
        <v>14.497999999999999</v>
      </c>
      <c r="IL45">
        <v>15.09</v>
      </c>
      <c r="IM45">
        <v>15.364000000000001</v>
      </c>
      <c r="IN45">
        <v>14.637</v>
      </c>
      <c r="IO45">
        <v>14.609</v>
      </c>
      <c r="IP45">
        <v>14.968999999999999</v>
      </c>
      <c r="IQ45">
        <v>9.1669999999999998</v>
      </c>
      <c r="IR45">
        <v>14.452999999999999</v>
      </c>
      <c r="IS45">
        <v>15.154999999999999</v>
      </c>
      <c r="IT45">
        <v>15.195</v>
      </c>
      <c r="IU45">
        <v>14.691000000000001</v>
      </c>
      <c r="IV45">
        <v>14.028</v>
      </c>
      <c r="IW45">
        <v>12.435</v>
      </c>
      <c r="IX45">
        <v>15.092000000000001</v>
      </c>
      <c r="IY45">
        <v>14.986000000000001</v>
      </c>
      <c r="IZ45">
        <v>14.653</v>
      </c>
      <c r="JA45">
        <v>14.62</v>
      </c>
      <c r="JB45">
        <v>14.449</v>
      </c>
      <c r="JC45">
        <v>15.37</v>
      </c>
      <c r="JD45">
        <v>14.356999999999999</v>
      </c>
      <c r="JE45">
        <v>13.179</v>
      </c>
      <c r="JF45">
        <v>15.041</v>
      </c>
      <c r="JG45">
        <v>15.196</v>
      </c>
      <c r="JH45">
        <v>14.146000000000001</v>
      </c>
      <c r="JI45">
        <v>11.651999999999999</v>
      </c>
      <c r="JJ45">
        <v>14.785</v>
      </c>
      <c r="JK45">
        <v>12.053000000000001</v>
      </c>
      <c r="JL45">
        <v>15.1</v>
      </c>
      <c r="JM45">
        <v>14.481</v>
      </c>
      <c r="JN45">
        <v>14.766</v>
      </c>
      <c r="JO45">
        <v>15.3</v>
      </c>
      <c r="JP45">
        <v>12.27</v>
      </c>
      <c r="JQ45">
        <v>14.548999999999999</v>
      </c>
      <c r="JR45">
        <v>14.702999999999999</v>
      </c>
      <c r="JS45">
        <v>15.263999999999999</v>
      </c>
      <c r="JT45">
        <v>14.9</v>
      </c>
      <c r="JU45">
        <v>14.507999999999999</v>
      </c>
      <c r="JV45">
        <v>14.217000000000001</v>
      </c>
      <c r="JW45">
        <v>14.31</v>
      </c>
      <c r="JX45">
        <v>14.948</v>
      </c>
      <c r="JY45">
        <v>12.352</v>
      </c>
      <c r="JZ45">
        <v>10.401</v>
      </c>
      <c r="KA45">
        <v>14.167999999999999</v>
      </c>
      <c r="KB45">
        <v>14.228</v>
      </c>
      <c r="KC45">
        <v>15.021000000000001</v>
      </c>
      <c r="KD45">
        <v>14.542999999999999</v>
      </c>
      <c r="KE45">
        <v>12.266999999999999</v>
      </c>
      <c r="KF45">
        <v>12.522</v>
      </c>
      <c r="KG45">
        <v>15.238</v>
      </c>
      <c r="KH45">
        <v>15.202</v>
      </c>
      <c r="KI45">
        <v>14.55</v>
      </c>
      <c r="KJ45">
        <v>14.856</v>
      </c>
      <c r="KK45">
        <v>14.714</v>
      </c>
      <c r="KL45">
        <v>12.364000000000001</v>
      </c>
      <c r="KM45">
        <v>11.364000000000001</v>
      </c>
      <c r="KN45">
        <v>14.66</v>
      </c>
      <c r="KO45">
        <v>13.935</v>
      </c>
      <c r="KP45">
        <v>13.375999999999999</v>
      </c>
      <c r="KQ45">
        <v>12.263</v>
      </c>
      <c r="KR45">
        <v>12.462</v>
      </c>
    </row>
    <row r="46" spans="1:304" x14ac:dyDescent="0.25">
      <c r="A46">
        <v>2017</v>
      </c>
      <c r="B46">
        <v>7</v>
      </c>
      <c r="C46">
        <v>11.425000000000001</v>
      </c>
      <c r="D46">
        <v>16.951000000000001</v>
      </c>
      <c r="E46">
        <v>16.263999999999999</v>
      </c>
      <c r="F46">
        <v>15.815</v>
      </c>
      <c r="G46">
        <v>15.106999999999999</v>
      </c>
      <c r="H46">
        <v>16.988</v>
      </c>
      <c r="I46">
        <v>12.409000000000001</v>
      </c>
      <c r="J46">
        <v>12.622</v>
      </c>
      <c r="K46">
        <v>15.759</v>
      </c>
      <c r="L46">
        <v>16.294</v>
      </c>
      <c r="M46">
        <v>15.906000000000001</v>
      </c>
      <c r="N46">
        <v>16.297999999999998</v>
      </c>
      <c r="O46">
        <v>13.986000000000001</v>
      </c>
      <c r="P46">
        <v>15.855</v>
      </c>
      <c r="Q46">
        <v>14.583</v>
      </c>
      <c r="R46">
        <v>15.458</v>
      </c>
      <c r="S46">
        <v>14.63</v>
      </c>
      <c r="T46">
        <v>16.786999999999999</v>
      </c>
      <c r="U46">
        <v>14.981</v>
      </c>
      <c r="V46">
        <v>15.226000000000001</v>
      </c>
      <c r="W46">
        <v>16.600000000000001</v>
      </c>
      <c r="X46">
        <v>15.362</v>
      </c>
      <c r="Y46">
        <v>15.904999999999999</v>
      </c>
      <c r="Z46">
        <v>12.945</v>
      </c>
      <c r="AA46">
        <v>16.459</v>
      </c>
      <c r="AB46">
        <v>16.016999999999999</v>
      </c>
      <c r="AC46">
        <v>15.417</v>
      </c>
      <c r="AD46">
        <v>16.074000000000002</v>
      </c>
      <c r="AE46">
        <v>16.939</v>
      </c>
      <c r="AF46">
        <v>15.91</v>
      </c>
      <c r="AG46">
        <v>14.537000000000001</v>
      </c>
      <c r="AH46">
        <v>13.24</v>
      </c>
      <c r="AI46">
        <v>13.768000000000001</v>
      </c>
      <c r="AJ46">
        <v>15.115</v>
      </c>
      <c r="AK46">
        <v>15.372999999999999</v>
      </c>
      <c r="AL46">
        <v>16.600999999999999</v>
      </c>
      <c r="AM46">
        <v>17.038</v>
      </c>
      <c r="AN46">
        <v>15.907999999999999</v>
      </c>
      <c r="AO46">
        <v>16.071999999999999</v>
      </c>
      <c r="AP46">
        <v>15.765000000000001</v>
      </c>
      <c r="AQ46">
        <v>16.073</v>
      </c>
      <c r="AR46">
        <v>15.135999999999999</v>
      </c>
      <c r="AS46">
        <v>15.906000000000001</v>
      </c>
      <c r="AT46">
        <v>15.148</v>
      </c>
      <c r="AU46">
        <v>14.827999999999999</v>
      </c>
      <c r="AV46">
        <v>15.574999999999999</v>
      </c>
      <c r="AW46">
        <v>16.498000000000001</v>
      </c>
      <c r="AX46">
        <v>16.710999999999999</v>
      </c>
      <c r="AY46">
        <v>16.045000000000002</v>
      </c>
      <c r="AZ46">
        <v>13.31</v>
      </c>
      <c r="BA46">
        <v>16.079999999999998</v>
      </c>
      <c r="BB46">
        <v>12.611000000000001</v>
      </c>
      <c r="BC46">
        <v>14.708</v>
      </c>
      <c r="BD46">
        <v>15.103999999999999</v>
      </c>
      <c r="BE46">
        <v>16.512</v>
      </c>
      <c r="BF46">
        <v>16.305</v>
      </c>
      <c r="BG46">
        <v>12.776</v>
      </c>
      <c r="BH46">
        <v>12.6</v>
      </c>
      <c r="BI46">
        <v>15.518000000000001</v>
      </c>
      <c r="BJ46">
        <v>16.571999999999999</v>
      </c>
      <c r="BK46">
        <v>16.363</v>
      </c>
      <c r="BL46">
        <v>17.013000000000002</v>
      </c>
      <c r="BM46">
        <v>14.824999999999999</v>
      </c>
      <c r="BN46">
        <v>16.245000000000001</v>
      </c>
      <c r="BO46">
        <v>16.556999999999999</v>
      </c>
      <c r="BP46">
        <v>16.151</v>
      </c>
      <c r="BQ46">
        <v>13.44</v>
      </c>
      <c r="BR46">
        <v>16.056000000000001</v>
      </c>
      <c r="BS46">
        <v>16.206</v>
      </c>
      <c r="BT46">
        <v>14.942</v>
      </c>
      <c r="BU46">
        <v>11.696999999999999</v>
      </c>
      <c r="BV46">
        <v>15.57</v>
      </c>
      <c r="BW46">
        <v>16.042000000000002</v>
      </c>
      <c r="BX46">
        <v>10.686999999999999</v>
      </c>
      <c r="BY46">
        <v>16.216999999999999</v>
      </c>
      <c r="BZ46">
        <v>15.59</v>
      </c>
      <c r="CA46">
        <v>15.847</v>
      </c>
      <c r="CB46">
        <v>15.154</v>
      </c>
      <c r="CC46">
        <v>16.29</v>
      </c>
      <c r="CD46">
        <v>16.559000000000001</v>
      </c>
      <c r="CE46">
        <v>15.465999999999999</v>
      </c>
      <c r="CF46">
        <v>15.923</v>
      </c>
      <c r="CG46">
        <v>15.128</v>
      </c>
      <c r="CH46">
        <v>14.913</v>
      </c>
      <c r="CI46">
        <v>14.849</v>
      </c>
      <c r="CJ46">
        <v>16.207999999999998</v>
      </c>
      <c r="CK46">
        <v>15.148</v>
      </c>
      <c r="CL46">
        <v>16.032</v>
      </c>
      <c r="CM46">
        <v>16.363</v>
      </c>
      <c r="CN46">
        <v>15.481</v>
      </c>
      <c r="CO46">
        <v>15.500999999999999</v>
      </c>
      <c r="CP46">
        <v>13.486000000000001</v>
      </c>
      <c r="CQ46">
        <v>13.79</v>
      </c>
      <c r="CR46">
        <v>17.233000000000001</v>
      </c>
      <c r="CS46">
        <v>15.558999999999999</v>
      </c>
      <c r="CT46">
        <v>15.003</v>
      </c>
      <c r="CU46">
        <v>16.36</v>
      </c>
      <c r="CV46">
        <v>12.994999999999999</v>
      </c>
      <c r="CW46">
        <v>16.268999999999998</v>
      </c>
      <c r="CX46">
        <v>15.593</v>
      </c>
      <c r="CY46">
        <v>15.534000000000001</v>
      </c>
      <c r="CZ46">
        <v>16.03</v>
      </c>
      <c r="DA46">
        <v>16.215</v>
      </c>
      <c r="DB46">
        <v>16.658999999999999</v>
      </c>
      <c r="DC46">
        <v>15.965999999999999</v>
      </c>
      <c r="DD46">
        <v>15.678000000000001</v>
      </c>
      <c r="DE46">
        <v>12.367000000000001</v>
      </c>
      <c r="DF46">
        <v>15.849</v>
      </c>
      <c r="DG46">
        <v>15.532</v>
      </c>
      <c r="DH46">
        <v>16.535</v>
      </c>
      <c r="DI46">
        <v>14.742000000000001</v>
      </c>
      <c r="DJ46">
        <v>14.867000000000001</v>
      </c>
      <c r="DK46">
        <v>15.904</v>
      </c>
      <c r="DL46">
        <v>16.041</v>
      </c>
      <c r="DM46">
        <v>16.285</v>
      </c>
      <c r="DN46">
        <v>16.285</v>
      </c>
      <c r="DO46">
        <v>17.050999999999998</v>
      </c>
      <c r="DP46">
        <v>16.356999999999999</v>
      </c>
      <c r="DQ46">
        <v>11.956</v>
      </c>
      <c r="DR46">
        <v>16.225999999999999</v>
      </c>
      <c r="DS46">
        <v>16.736000000000001</v>
      </c>
      <c r="DT46">
        <v>16.006</v>
      </c>
      <c r="DU46">
        <v>16.218</v>
      </c>
      <c r="DV46">
        <v>16.303000000000001</v>
      </c>
      <c r="DW46">
        <v>16.042999999999999</v>
      </c>
      <c r="DX46">
        <v>14.803000000000001</v>
      </c>
      <c r="DY46">
        <v>15.837</v>
      </c>
      <c r="DZ46">
        <v>15.194000000000001</v>
      </c>
      <c r="EA46">
        <v>16.774000000000001</v>
      </c>
      <c r="EB46">
        <v>16.571000000000002</v>
      </c>
      <c r="EC46">
        <v>16.283000000000001</v>
      </c>
      <c r="ED46">
        <v>15.893000000000001</v>
      </c>
      <c r="EE46">
        <v>16.698</v>
      </c>
      <c r="EF46">
        <v>15.077999999999999</v>
      </c>
      <c r="EG46">
        <v>14.1</v>
      </c>
      <c r="EH46">
        <v>16.45</v>
      </c>
      <c r="EI46">
        <v>15.099</v>
      </c>
      <c r="EJ46">
        <v>14.576000000000001</v>
      </c>
      <c r="EK46">
        <v>16.254999999999999</v>
      </c>
      <c r="EL46">
        <v>13.956</v>
      </c>
      <c r="EM46">
        <v>16.375</v>
      </c>
      <c r="EN46">
        <v>15.978999999999999</v>
      </c>
      <c r="EO46">
        <v>16.527000000000001</v>
      </c>
      <c r="EP46">
        <v>13.662000000000001</v>
      </c>
      <c r="EQ46">
        <v>13.257999999999999</v>
      </c>
      <c r="ER46">
        <v>16.620999999999999</v>
      </c>
      <c r="ES46">
        <v>15.125</v>
      </c>
      <c r="ET46">
        <v>16.341999999999999</v>
      </c>
      <c r="EU46">
        <v>16.303000000000001</v>
      </c>
      <c r="EV46">
        <v>14.99</v>
      </c>
      <c r="EW46">
        <v>16.446999999999999</v>
      </c>
      <c r="EX46">
        <v>16.327999999999999</v>
      </c>
      <c r="EY46">
        <v>15.089</v>
      </c>
      <c r="EZ46">
        <v>16.36</v>
      </c>
      <c r="FA46">
        <v>16.408999999999999</v>
      </c>
      <c r="FB46">
        <v>16.733000000000001</v>
      </c>
      <c r="FC46">
        <v>16.305</v>
      </c>
      <c r="FD46">
        <v>16.786000000000001</v>
      </c>
      <c r="FE46">
        <v>15.698</v>
      </c>
      <c r="FF46">
        <v>15.053000000000001</v>
      </c>
      <c r="FG46">
        <v>14.920999999999999</v>
      </c>
      <c r="FH46">
        <v>14.929</v>
      </c>
      <c r="FI46">
        <v>16.625</v>
      </c>
      <c r="FJ46">
        <v>16.097000000000001</v>
      </c>
      <c r="FK46">
        <v>13.551</v>
      </c>
      <c r="FL46">
        <v>15.861000000000001</v>
      </c>
      <c r="FM46">
        <v>16.672999999999998</v>
      </c>
      <c r="FN46">
        <v>16.818000000000001</v>
      </c>
      <c r="FO46">
        <v>16.062000000000001</v>
      </c>
      <c r="FP46">
        <v>14.914</v>
      </c>
      <c r="FQ46">
        <v>14.775</v>
      </c>
      <c r="FR46">
        <v>15.475</v>
      </c>
      <c r="FS46">
        <v>14.525</v>
      </c>
      <c r="FT46">
        <v>16.46</v>
      </c>
      <c r="FU46">
        <v>15.138</v>
      </c>
      <c r="FV46">
        <v>16.469000000000001</v>
      </c>
      <c r="FW46">
        <v>16.414999999999999</v>
      </c>
      <c r="FX46">
        <v>14.194000000000001</v>
      </c>
      <c r="FY46">
        <v>16.201000000000001</v>
      </c>
      <c r="FZ46">
        <v>14.932</v>
      </c>
      <c r="GA46">
        <v>10.458</v>
      </c>
      <c r="GB46">
        <v>14.657999999999999</v>
      </c>
      <c r="GC46">
        <v>15.749000000000001</v>
      </c>
      <c r="GD46">
        <v>14.634</v>
      </c>
      <c r="GE46">
        <v>15.855</v>
      </c>
      <c r="GF46">
        <v>16.956</v>
      </c>
      <c r="GG46">
        <v>15.323</v>
      </c>
      <c r="GH46">
        <v>16.869</v>
      </c>
      <c r="GI46">
        <v>15.718</v>
      </c>
      <c r="GJ46">
        <v>15.701000000000001</v>
      </c>
      <c r="GK46">
        <v>16.062999999999999</v>
      </c>
      <c r="GL46">
        <v>14.69</v>
      </c>
      <c r="GM46">
        <v>15.577</v>
      </c>
      <c r="GN46">
        <v>15.737</v>
      </c>
      <c r="GO46">
        <v>15.611000000000001</v>
      </c>
      <c r="GP46">
        <v>15.904999999999999</v>
      </c>
      <c r="GQ46">
        <v>15.303000000000001</v>
      </c>
      <c r="GR46">
        <v>14.606999999999999</v>
      </c>
      <c r="GS46">
        <v>17.122</v>
      </c>
      <c r="GT46">
        <v>17.13</v>
      </c>
      <c r="GU46">
        <v>13.135</v>
      </c>
      <c r="GV46">
        <v>16.213000000000001</v>
      </c>
      <c r="GW46">
        <v>16.212</v>
      </c>
      <c r="GX46">
        <v>16.292999999999999</v>
      </c>
      <c r="GY46">
        <v>16.922999999999998</v>
      </c>
      <c r="GZ46">
        <v>17.221</v>
      </c>
      <c r="HA46">
        <v>15.255000000000001</v>
      </c>
      <c r="HB46">
        <v>10.569000000000001</v>
      </c>
      <c r="HC46">
        <v>12.962</v>
      </c>
      <c r="HD46">
        <v>17.035</v>
      </c>
      <c r="HE46">
        <v>16.786999999999999</v>
      </c>
      <c r="HF46">
        <v>13.122999999999999</v>
      </c>
      <c r="HG46">
        <v>17.190000000000001</v>
      </c>
      <c r="HH46">
        <v>15.007999999999999</v>
      </c>
      <c r="HI46">
        <v>15.14</v>
      </c>
      <c r="HJ46">
        <v>16.341999999999999</v>
      </c>
      <c r="HK46">
        <v>15.914999999999999</v>
      </c>
      <c r="HL46">
        <v>16.161999999999999</v>
      </c>
      <c r="HM46">
        <v>12.976000000000001</v>
      </c>
      <c r="HN46">
        <v>15.132</v>
      </c>
      <c r="HO46">
        <v>12.62</v>
      </c>
      <c r="HP46">
        <v>16.375</v>
      </c>
      <c r="HQ46">
        <v>16.329999999999998</v>
      </c>
      <c r="HR46">
        <v>12.842000000000001</v>
      </c>
      <c r="HS46">
        <v>12.428000000000001</v>
      </c>
      <c r="HT46">
        <v>15.227</v>
      </c>
      <c r="HU46">
        <v>14.874000000000001</v>
      </c>
      <c r="HV46">
        <v>15.180999999999999</v>
      </c>
      <c r="HW46">
        <v>16.731999999999999</v>
      </c>
      <c r="HX46">
        <v>16.829000000000001</v>
      </c>
      <c r="HY46">
        <v>15.736000000000001</v>
      </c>
      <c r="HZ46">
        <v>16.457000000000001</v>
      </c>
      <c r="IA46">
        <v>16.283999999999999</v>
      </c>
      <c r="IB46">
        <v>15.561</v>
      </c>
      <c r="IC46">
        <v>15.675000000000001</v>
      </c>
      <c r="ID46">
        <v>14.885999999999999</v>
      </c>
      <c r="IE46">
        <v>15.22</v>
      </c>
      <c r="IF46">
        <v>16.225999999999999</v>
      </c>
      <c r="IG46">
        <v>15.545999999999999</v>
      </c>
      <c r="IH46">
        <v>15.208</v>
      </c>
      <c r="II46">
        <v>16.123999999999999</v>
      </c>
      <c r="IJ46">
        <v>14.989000000000001</v>
      </c>
      <c r="IK46">
        <v>15.920999999999999</v>
      </c>
      <c r="IL46">
        <v>15.898999999999999</v>
      </c>
      <c r="IM46">
        <v>16.533999999999999</v>
      </c>
      <c r="IN46">
        <v>16.372</v>
      </c>
      <c r="IO46">
        <v>16.419</v>
      </c>
      <c r="IP46">
        <v>16.837</v>
      </c>
      <c r="IQ46">
        <v>10.47</v>
      </c>
      <c r="IR46">
        <v>15.86</v>
      </c>
      <c r="IS46">
        <v>16.504999999999999</v>
      </c>
      <c r="IT46">
        <v>16.420000000000002</v>
      </c>
      <c r="IU46">
        <v>15.336</v>
      </c>
      <c r="IV46">
        <v>14.853999999999999</v>
      </c>
      <c r="IW46">
        <v>14.877000000000001</v>
      </c>
      <c r="IX46">
        <v>17.103999999999999</v>
      </c>
      <c r="IY46">
        <v>16.908999999999999</v>
      </c>
      <c r="IZ46">
        <v>16.460999999999999</v>
      </c>
      <c r="JA46">
        <v>16.306999999999999</v>
      </c>
      <c r="JB46">
        <v>15.131</v>
      </c>
      <c r="JC46">
        <v>16.635000000000002</v>
      </c>
      <c r="JD46">
        <v>16.132000000000001</v>
      </c>
      <c r="JE46">
        <v>14.513999999999999</v>
      </c>
      <c r="JF46">
        <v>16.007999999999999</v>
      </c>
      <c r="JG46">
        <v>16.21</v>
      </c>
      <c r="JH46">
        <v>15.144</v>
      </c>
      <c r="JI46">
        <v>13.023999999999999</v>
      </c>
      <c r="JJ46">
        <v>15.782999999999999</v>
      </c>
      <c r="JK46">
        <v>14.086</v>
      </c>
      <c r="JL46">
        <v>16.811</v>
      </c>
      <c r="JM46">
        <v>16.012</v>
      </c>
      <c r="JN46">
        <v>15.678000000000001</v>
      </c>
      <c r="JO46">
        <v>16.565999999999999</v>
      </c>
      <c r="JP46">
        <v>14.512</v>
      </c>
      <c r="JQ46">
        <v>16.425999999999998</v>
      </c>
      <c r="JR46">
        <v>15.201000000000001</v>
      </c>
      <c r="JS46">
        <v>16.579000000000001</v>
      </c>
      <c r="JT46">
        <v>16.766999999999999</v>
      </c>
      <c r="JU46">
        <v>15.194000000000001</v>
      </c>
      <c r="JV46">
        <v>15.406000000000001</v>
      </c>
      <c r="JW46">
        <v>15.462</v>
      </c>
      <c r="JX46">
        <v>16.492000000000001</v>
      </c>
      <c r="JY46">
        <v>13.585000000000001</v>
      </c>
      <c r="JZ46">
        <v>11.93</v>
      </c>
      <c r="KA46">
        <v>15.414</v>
      </c>
      <c r="KB46">
        <v>15.202999999999999</v>
      </c>
      <c r="KC46">
        <v>16.251000000000001</v>
      </c>
      <c r="KD46">
        <v>15.044</v>
      </c>
      <c r="KE46">
        <v>13.581</v>
      </c>
      <c r="KF46">
        <v>14.257</v>
      </c>
      <c r="KG46">
        <v>15.907999999999999</v>
      </c>
      <c r="KH46">
        <v>16.366</v>
      </c>
      <c r="KI46">
        <v>16.087</v>
      </c>
      <c r="KJ46">
        <v>16.393000000000001</v>
      </c>
      <c r="KK46">
        <v>15.331</v>
      </c>
      <c r="KL46">
        <v>14.683</v>
      </c>
      <c r="KM46">
        <v>12.712999999999999</v>
      </c>
      <c r="KN46">
        <v>16.495000000000001</v>
      </c>
      <c r="KO46">
        <v>15.55</v>
      </c>
      <c r="KP46">
        <v>14.369</v>
      </c>
      <c r="KQ46">
        <v>14.606999999999999</v>
      </c>
      <c r="KR46">
        <v>15.159000000000001</v>
      </c>
    </row>
    <row r="47" spans="1:304" x14ac:dyDescent="0.25">
      <c r="A47">
        <v>2017</v>
      </c>
      <c r="B47">
        <v>8</v>
      </c>
      <c r="C47">
        <v>9.5990000000000002</v>
      </c>
      <c r="D47">
        <v>16.308</v>
      </c>
      <c r="E47">
        <v>15.565</v>
      </c>
      <c r="F47">
        <v>14.867000000000001</v>
      </c>
      <c r="G47">
        <v>14.99</v>
      </c>
      <c r="H47">
        <v>15.851000000000001</v>
      </c>
      <c r="I47">
        <v>10.778</v>
      </c>
      <c r="J47">
        <v>10.818</v>
      </c>
      <c r="K47">
        <v>14.442</v>
      </c>
      <c r="L47">
        <v>15.069000000000001</v>
      </c>
      <c r="M47">
        <v>14.801</v>
      </c>
      <c r="N47">
        <v>14.548999999999999</v>
      </c>
      <c r="O47">
        <v>12.393000000000001</v>
      </c>
      <c r="P47">
        <v>16.408000000000001</v>
      </c>
      <c r="Q47">
        <v>12.865</v>
      </c>
      <c r="R47">
        <v>14.805</v>
      </c>
      <c r="S47">
        <v>13.593999999999999</v>
      </c>
      <c r="T47">
        <v>17.148</v>
      </c>
      <c r="U47">
        <v>13.978999999999999</v>
      </c>
      <c r="V47">
        <v>14.455</v>
      </c>
      <c r="W47">
        <v>15.939</v>
      </c>
      <c r="X47">
        <v>15.503</v>
      </c>
      <c r="Y47">
        <v>16.308</v>
      </c>
      <c r="Z47">
        <v>11.93</v>
      </c>
      <c r="AA47">
        <v>17.315999999999999</v>
      </c>
      <c r="AB47">
        <v>16.472000000000001</v>
      </c>
      <c r="AC47">
        <v>14.058</v>
      </c>
      <c r="AD47">
        <v>14.393000000000001</v>
      </c>
      <c r="AE47">
        <v>16.544</v>
      </c>
      <c r="AF47">
        <v>14.558999999999999</v>
      </c>
      <c r="AG47">
        <v>13.712999999999999</v>
      </c>
      <c r="AH47">
        <v>11.846</v>
      </c>
      <c r="AI47">
        <v>12.805</v>
      </c>
      <c r="AJ47">
        <v>14.488</v>
      </c>
      <c r="AK47">
        <v>15.353</v>
      </c>
      <c r="AL47">
        <v>15.747</v>
      </c>
      <c r="AM47">
        <v>15.898</v>
      </c>
      <c r="AN47">
        <v>16.62</v>
      </c>
      <c r="AO47">
        <v>14.898999999999999</v>
      </c>
      <c r="AP47">
        <v>14.667</v>
      </c>
      <c r="AQ47">
        <v>16.34</v>
      </c>
      <c r="AR47">
        <v>14.348000000000001</v>
      </c>
      <c r="AS47">
        <v>17.245999999999999</v>
      </c>
      <c r="AT47">
        <v>14.146000000000001</v>
      </c>
      <c r="AU47">
        <v>13.792999999999999</v>
      </c>
      <c r="AV47">
        <v>14.928000000000001</v>
      </c>
      <c r="AW47">
        <v>15.493</v>
      </c>
      <c r="AX47">
        <v>15.57</v>
      </c>
      <c r="AY47">
        <v>14.6</v>
      </c>
      <c r="AZ47">
        <v>11.695</v>
      </c>
      <c r="BA47">
        <v>14.741</v>
      </c>
      <c r="BB47">
        <v>11.336</v>
      </c>
      <c r="BC47">
        <v>13.382999999999999</v>
      </c>
      <c r="BD47">
        <v>14.595000000000001</v>
      </c>
      <c r="BE47">
        <v>15.504</v>
      </c>
      <c r="BF47">
        <v>15.188000000000001</v>
      </c>
      <c r="BG47">
        <v>11.119</v>
      </c>
      <c r="BH47">
        <v>10.497999999999999</v>
      </c>
      <c r="BI47">
        <v>15.076000000000001</v>
      </c>
      <c r="BJ47">
        <v>16.234000000000002</v>
      </c>
      <c r="BK47">
        <v>15.318</v>
      </c>
      <c r="BL47">
        <v>16.141999999999999</v>
      </c>
      <c r="BM47">
        <v>13.579000000000001</v>
      </c>
      <c r="BN47">
        <v>15.069000000000001</v>
      </c>
      <c r="BO47">
        <v>15.379</v>
      </c>
      <c r="BP47">
        <v>16.41</v>
      </c>
      <c r="BQ47">
        <v>12.315</v>
      </c>
      <c r="BR47">
        <v>15.172000000000001</v>
      </c>
      <c r="BS47">
        <v>15.675000000000001</v>
      </c>
      <c r="BT47">
        <v>13.204000000000001</v>
      </c>
      <c r="BU47">
        <v>10.731</v>
      </c>
      <c r="BV47">
        <v>14.582000000000001</v>
      </c>
      <c r="BW47">
        <v>16.68</v>
      </c>
      <c r="BX47">
        <v>9.6159999999999997</v>
      </c>
      <c r="BY47">
        <v>16.402000000000001</v>
      </c>
      <c r="BZ47">
        <v>14.781000000000001</v>
      </c>
      <c r="CA47">
        <v>15.260999999999999</v>
      </c>
      <c r="CB47">
        <v>14.209</v>
      </c>
      <c r="CC47">
        <v>15.092000000000001</v>
      </c>
      <c r="CD47">
        <v>16.059999999999999</v>
      </c>
      <c r="CE47">
        <v>14.749000000000001</v>
      </c>
      <c r="CF47">
        <v>15.407999999999999</v>
      </c>
      <c r="CG47">
        <v>14.927</v>
      </c>
      <c r="CH47">
        <v>13.836</v>
      </c>
      <c r="CI47">
        <v>14.167</v>
      </c>
      <c r="CJ47">
        <v>15.695</v>
      </c>
      <c r="CK47">
        <v>15.444000000000001</v>
      </c>
      <c r="CL47">
        <v>16.535</v>
      </c>
      <c r="CM47">
        <v>15.856</v>
      </c>
      <c r="CN47">
        <v>16.091999999999999</v>
      </c>
      <c r="CO47">
        <v>16.042000000000002</v>
      </c>
      <c r="CP47">
        <v>11.564</v>
      </c>
      <c r="CQ47">
        <v>12.352</v>
      </c>
      <c r="CR47">
        <v>16.666</v>
      </c>
      <c r="CS47">
        <v>14.818</v>
      </c>
      <c r="CT47">
        <v>12.972</v>
      </c>
      <c r="CU47">
        <v>16.713999999999999</v>
      </c>
      <c r="CV47">
        <v>10.419</v>
      </c>
      <c r="CW47">
        <v>15.553000000000001</v>
      </c>
      <c r="CX47">
        <v>16.015000000000001</v>
      </c>
      <c r="CY47">
        <v>14.335000000000001</v>
      </c>
      <c r="CZ47">
        <v>16.815000000000001</v>
      </c>
      <c r="DA47">
        <v>15.051</v>
      </c>
      <c r="DB47">
        <v>15.599</v>
      </c>
      <c r="DC47">
        <v>14.531000000000001</v>
      </c>
      <c r="DD47">
        <v>15.199</v>
      </c>
      <c r="DE47">
        <v>10.221</v>
      </c>
      <c r="DF47">
        <v>15.101000000000001</v>
      </c>
      <c r="DG47">
        <v>15.856999999999999</v>
      </c>
      <c r="DH47">
        <v>15.696</v>
      </c>
      <c r="DI47">
        <v>13.651999999999999</v>
      </c>
      <c r="DJ47">
        <v>13.768000000000001</v>
      </c>
      <c r="DK47">
        <v>16.308</v>
      </c>
      <c r="DL47">
        <v>15.047000000000001</v>
      </c>
      <c r="DM47">
        <v>15.129</v>
      </c>
      <c r="DN47">
        <v>16.065999999999999</v>
      </c>
      <c r="DO47">
        <v>16.004999999999999</v>
      </c>
      <c r="DP47">
        <v>15.787000000000001</v>
      </c>
      <c r="DQ47">
        <v>10.32</v>
      </c>
      <c r="DR47">
        <v>17.050999999999998</v>
      </c>
      <c r="DS47">
        <v>15.632</v>
      </c>
      <c r="DT47">
        <v>16.175000000000001</v>
      </c>
      <c r="DU47">
        <v>17.055</v>
      </c>
      <c r="DV47">
        <v>15.06</v>
      </c>
      <c r="DW47">
        <v>14.962999999999999</v>
      </c>
      <c r="DX47">
        <v>13.327999999999999</v>
      </c>
      <c r="DY47">
        <v>15.138</v>
      </c>
      <c r="DZ47">
        <v>15.036</v>
      </c>
      <c r="EA47">
        <v>16.46</v>
      </c>
      <c r="EB47">
        <v>15.597</v>
      </c>
      <c r="EC47">
        <v>15.282999999999999</v>
      </c>
      <c r="ED47">
        <v>14.506</v>
      </c>
      <c r="EE47">
        <v>15.877000000000001</v>
      </c>
      <c r="EF47">
        <v>14.961</v>
      </c>
      <c r="EG47">
        <v>13.231999999999999</v>
      </c>
      <c r="EH47">
        <v>17.309999999999999</v>
      </c>
      <c r="EI47">
        <v>13.956</v>
      </c>
      <c r="EJ47">
        <v>13.239000000000001</v>
      </c>
      <c r="EK47">
        <v>17.068999999999999</v>
      </c>
      <c r="EL47">
        <v>12.223000000000001</v>
      </c>
      <c r="EM47">
        <v>15.853999999999999</v>
      </c>
      <c r="EN47">
        <v>15.069000000000001</v>
      </c>
      <c r="EO47">
        <v>17.385999999999999</v>
      </c>
      <c r="EP47">
        <v>12.335000000000001</v>
      </c>
      <c r="EQ47">
        <v>11.301</v>
      </c>
      <c r="ER47">
        <v>15.667999999999999</v>
      </c>
      <c r="ES47">
        <v>15.185</v>
      </c>
      <c r="ET47">
        <v>15.33</v>
      </c>
      <c r="EU47">
        <v>15.44</v>
      </c>
      <c r="EV47">
        <v>13.106</v>
      </c>
      <c r="EW47">
        <v>15.565</v>
      </c>
      <c r="EX47">
        <v>15.015000000000001</v>
      </c>
      <c r="EY47">
        <v>13.878</v>
      </c>
      <c r="EZ47">
        <v>15.58</v>
      </c>
      <c r="FA47">
        <v>15.983000000000001</v>
      </c>
      <c r="FB47">
        <v>16.640999999999998</v>
      </c>
      <c r="FC47">
        <v>16.792999999999999</v>
      </c>
      <c r="FD47">
        <v>16.446000000000002</v>
      </c>
      <c r="FE47">
        <v>14.38</v>
      </c>
      <c r="FF47">
        <v>14.083</v>
      </c>
      <c r="FG47">
        <v>14.106999999999999</v>
      </c>
      <c r="FH47">
        <v>13.678000000000001</v>
      </c>
      <c r="FI47">
        <v>15.829000000000001</v>
      </c>
      <c r="FJ47">
        <v>15.766999999999999</v>
      </c>
      <c r="FK47">
        <v>11.581</v>
      </c>
      <c r="FL47">
        <v>15.801</v>
      </c>
      <c r="FM47">
        <v>15.763999999999999</v>
      </c>
      <c r="FN47">
        <v>15.855</v>
      </c>
      <c r="FO47">
        <v>15.673999999999999</v>
      </c>
      <c r="FP47">
        <v>14.223000000000001</v>
      </c>
      <c r="FQ47">
        <v>14.074</v>
      </c>
      <c r="FR47">
        <v>15.648</v>
      </c>
      <c r="FS47">
        <v>12.817</v>
      </c>
      <c r="FT47">
        <v>15.632</v>
      </c>
      <c r="FU47">
        <v>15.238</v>
      </c>
      <c r="FV47">
        <v>16.321999999999999</v>
      </c>
      <c r="FW47">
        <v>15.842000000000001</v>
      </c>
      <c r="FX47">
        <v>11.712</v>
      </c>
      <c r="FY47">
        <v>15.617000000000001</v>
      </c>
      <c r="FZ47">
        <v>13.18</v>
      </c>
      <c r="GA47">
        <v>9.2240000000000002</v>
      </c>
      <c r="GB47">
        <v>13.363</v>
      </c>
      <c r="GC47">
        <v>16.347000000000001</v>
      </c>
      <c r="GD47">
        <v>13.144</v>
      </c>
      <c r="GE47">
        <v>14.736000000000001</v>
      </c>
      <c r="GF47">
        <v>16.198</v>
      </c>
      <c r="GG47">
        <v>14.538</v>
      </c>
      <c r="GH47">
        <v>16.016999999999999</v>
      </c>
      <c r="GI47">
        <v>16.818000000000001</v>
      </c>
      <c r="GJ47">
        <v>16.41</v>
      </c>
      <c r="GK47">
        <v>15.036</v>
      </c>
      <c r="GL47">
        <v>13.436999999999999</v>
      </c>
      <c r="GM47">
        <v>14.273</v>
      </c>
      <c r="GN47">
        <v>16.616</v>
      </c>
      <c r="GO47">
        <v>15.367000000000001</v>
      </c>
      <c r="GP47">
        <v>14.913</v>
      </c>
      <c r="GQ47">
        <v>14.199</v>
      </c>
      <c r="GR47">
        <v>13.066000000000001</v>
      </c>
      <c r="GS47">
        <v>16.564</v>
      </c>
      <c r="GT47">
        <v>16.675999999999998</v>
      </c>
      <c r="GU47">
        <v>11.266</v>
      </c>
      <c r="GV47">
        <v>15.954000000000001</v>
      </c>
      <c r="GW47">
        <v>17.018999999999998</v>
      </c>
      <c r="GX47">
        <v>15.545999999999999</v>
      </c>
      <c r="GY47">
        <v>16.477</v>
      </c>
      <c r="GZ47">
        <v>16.721</v>
      </c>
      <c r="HA47">
        <v>14.256</v>
      </c>
      <c r="HB47">
        <v>9.6660000000000004</v>
      </c>
      <c r="HC47">
        <v>11.311999999999999</v>
      </c>
      <c r="HD47">
        <v>15.981999999999999</v>
      </c>
      <c r="HE47">
        <v>15.72</v>
      </c>
      <c r="HF47">
        <v>11.63</v>
      </c>
      <c r="HG47">
        <v>16.696000000000002</v>
      </c>
      <c r="HH47">
        <v>14.269</v>
      </c>
      <c r="HI47">
        <v>14.082000000000001</v>
      </c>
      <c r="HJ47">
        <v>15.098000000000001</v>
      </c>
      <c r="HK47">
        <v>16.649999999999999</v>
      </c>
      <c r="HL47">
        <v>16.956</v>
      </c>
      <c r="HM47">
        <v>11.679</v>
      </c>
      <c r="HN47">
        <v>14.595000000000001</v>
      </c>
      <c r="HO47">
        <v>11.566000000000001</v>
      </c>
      <c r="HP47">
        <v>15.516</v>
      </c>
      <c r="HQ47">
        <v>14.755000000000001</v>
      </c>
      <c r="HR47">
        <v>11.538</v>
      </c>
      <c r="HS47">
        <v>11.269</v>
      </c>
      <c r="HT47">
        <v>14.317</v>
      </c>
      <c r="HU47">
        <v>14.362</v>
      </c>
      <c r="HV47">
        <v>14.97</v>
      </c>
      <c r="HW47">
        <v>15.89</v>
      </c>
      <c r="HX47">
        <v>15.976000000000001</v>
      </c>
      <c r="HY47">
        <v>16.366</v>
      </c>
      <c r="HZ47">
        <v>15.26</v>
      </c>
      <c r="IA47">
        <v>15.263999999999999</v>
      </c>
      <c r="IB47">
        <v>14.728999999999999</v>
      </c>
      <c r="IC47">
        <v>14.898999999999999</v>
      </c>
      <c r="ID47">
        <v>13.898999999999999</v>
      </c>
      <c r="IE47">
        <v>15.151999999999999</v>
      </c>
      <c r="IF47">
        <v>16.068999999999999</v>
      </c>
      <c r="IG47">
        <v>16.332000000000001</v>
      </c>
      <c r="IH47">
        <v>14.035</v>
      </c>
      <c r="II47">
        <v>16.459</v>
      </c>
      <c r="IJ47">
        <v>14.433999999999999</v>
      </c>
      <c r="IK47">
        <v>14.94</v>
      </c>
      <c r="IL47">
        <v>17.106000000000002</v>
      </c>
      <c r="IM47">
        <v>15.339</v>
      </c>
      <c r="IN47">
        <v>15.651</v>
      </c>
      <c r="IO47">
        <v>16.146999999999998</v>
      </c>
      <c r="IP47">
        <v>16.417999999999999</v>
      </c>
      <c r="IQ47">
        <v>9.7319999999999993</v>
      </c>
      <c r="IR47">
        <v>14.824999999999999</v>
      </c>
      <c r="IS47">
        <v>15.36</v>
      </c>
      <c r="IT47">
        <v>15.305</v>
      </c>
      <c r="IU47">
        <v>15.111000000000001</v>
      </c>
      <c r="IV47">
        <v>14.178000000000001</v>
      </c>
      <c r="IW47">
        <v>13.521000000000001</v>
      </c>
      <c r="IX47">
        <v>16.279</v>
      </c>
      <c r="IY47">
        <v>16.277999999999999</v>
      </c>
      <c r="IZ47">
        <v>15.638999999999999</v>
      </c>
      <c r="JA47">
        <v>15.661</v>
      </c>
      <c r="JB47">
        <v>14.457000000000001</v>
      </c>
      <c r="JC47">
        <v>15.994999999999999</v>
      </c>
      <c r="JD47">
        <v>15.707000000000001</v>
      </c>
      <c r="JE47">
        <v>13.1</v>
      </c>
      <c r="JF47">
        <v>15.09</v>
      </c>
      <c r="JG47">
        <v>16.390999999999998</v>
      </c>
      <c r="JH47">
        <v>14.765000000000001</v>
      </c>
      <c r="JI47">
        <v>11.419</v>
      </c>
      <c r="JJ47">
        <v>15.262</v>
      </c>
      <c r="JK47">
        <v>12.446</v>
      </c>
      <c r="JL47">
        <v>15.621</v>
      </c>
      <c r="JM47">
        <v>16.445</v>
      </c>
      <c r="JN47">
        <v>14.723000000000001</v>
      </c>
      <c r="JO47">
        <v>15.384</v>
      </c>
      <c r="JP47">
        <v>12.911</v>
      </c>
      <c r="JQ47">
        <v>16.271999999999998</v>
      </c>
      <c r="JR47">
        <v>14.916</v>
      </c>
      <c r="JS47">
        <v>16.228000000000002</v>
      </c>
      <c r="JT47">
        <v>15.819000000000001</v>
      </c>
      <c r="JU47">
        <v>15.071999999999999</v>
      </c>
      <c r="JV47">
        <v>14.680999999999999</v>
      </c>
      <c r="JW47">
        <v>16.565000000000001</v>
      </c>
      <c r="JX47">
        <v>14.962999999999999</v>
      </c>
      <c r="JY47">
        <v>12.622999999999999</v>
      </c>
      <c r="JZ47">
        <v>10.951000000000001</v>
      </c>
      <c r="KA47">
        <v>14.082000000000001</v>
      </c>
      <c r="KB47">
        <v>15.002000000000001</v>
      </c>
      <c r="KC47">
        <v>15.37</v>
      </c>
      <c r="KD47">
        <v>15.151999999999999</v>
      </c>
      <c r="KE47">
        <v>12.212999999999999</v>
      </c>
      <c r="KF47">
        <v>12.391</v>
      </c>
      <c r="KG47">
        <v>16.28</v>
      </c>
      <c r="KH47">
        <v>16.530999999999999</v>
      </c>
      <c r="KI47">
        <v>15.260999999999999</v>
      </c>
      <c r="KJ47">
        <v>15.212999999999999</v>
      </c>
      <c r="KK47">
        <v>15.484999999999999</v>
      </c>
      <c r="KL47">
        <v>13.704000000000001</v>
      </c>
      <c r="KM47">
        <v>11.704000000000001</v>
      </c>
      <c r="KN47">
        <v>16.309999999999999</v>
      </c>
      <c r="KO47">
        <v>15.351000000000001</v>
      </c>
      <c r="KP47">
        <v>13.307</v>
      </c>
      <c r="KQ47">
        <v>12.637</v>
      </c>
      <c r="KR47">
        <v>12.781000000000001</v>
      </c>
    </row>
    <row r="48" spans="1:304" x14ac:dyDescent="0.25">
      <c r="A48">
        <v>2017</v>
      </c>
      <c r="B48">
        <v>9</v>
      </c>
      <c r="C48">
        <v>6.2889999999999997</v>
      </c>
      <c r="D48">
        <v>12.85</v>
      </c>
      <c r="E48">
        <v>12.608000000000001</v>
      </c>
      <c r="F48">
        <v>12.026999999999999</v>
      </c>
      <c r="G48">
        <v>12.087999999999999</v>
      </c>
      <c r="H48">
        <v>12.188000000000001</v>
      </c>
      <c r="I48">
        <v>7.3019999999999996</v>
      </c>
      <c r="J48">
        <v>7.0030000000000001</v>
      </c>
      <c r="K48">
        <v>11.307</v>
      </c>
      <c r="L48">
        <v>11.489000000000001</v>
      </c>
      <c r="M48">
        <v>11.385</v>
      </c>
      <c r="N48">
        <v>11.444000000000001</v>
      </c>
      <c r="O48">
        <v>8.5250000000000004</v>
      </c>
      <c r="P48">
        <v>13.337999999999999</v>
      </c>
      <c r="Q48">
        <v>8.7050000000000001</v>
      </c>
      <c r="R48">
        <v>12.047000000000001</v>
      </c>
      <c r="S48">
        <v>10.605</v>
      </c>
      <c r="T48">
        <v>13.738</v>
      </c>
      <c r="U48">
        <v>10.734999999999999</v>
      </c>
      <c r="V48">
        <v>11.702</v>
      </c>
      <c r="W48">
        <v>12.566000000000001</v>
      </c>
      <c r="X48">
        <v>12.645</v>
      </c>
      <c r="Y48">
        <v>13.276</v>
      </c>
      <c r="Z48">
        <v>8.9260000000000002</v>
      </c>
      <c r="AA48">
        <v>13.878</v>
      </c>
      <c r="AB48">
        <v>13.420999999999999</v>
      </c>
      <c r="AC48">
        <v>10.933</v>
      </c>
      <c r="AD48">
        <v>11.41</v>
      </c>
      <c r="AE48">
        <v>12.913</v>
      </c>
      <c r="AF48">
        <v>11.151</v>
      </c>
      <c r="AG48">
        <v>10.366</v>
      </c>
      <c r="AH48">
        <v>8.968</v>
      </c>
      <c r="AI48">
        <v>10.089</v>
      </c>
      <c r="AJ48">
        <v>11.351000000000001</v>
      </c>
      <c r="AK48">
        <v>12.342000000000001</v>
      </c>
      <c r="AL48">
        <v>12.170999999999999</v>
      </c>
      <c r="AM48">
        <v>12.305999999999999</v>
      </c>
      <c r="AN48">
        <v>13.308</v>
      </c>
      <c r="AO48">
        <v>11.846</v>
      </c>
      <c r="AP48">
        <v>11.526999999999999</v>
      </c>
      <c r="AQ48">
        <v>13.61</v>
      </c>
      <c r="AR48">
        <v>11.395</v>
      </c>
      <c r="AS48">
        <v>14.289</v>
      </c>
      <c r="AT48">
        <v>10.959</v>
      </c>
      <c r="AU48">
        <v>10.909000000000001</v>
      </c>
      <c r="AV48">
        <v>11.337</v>
      </c>
      <c r="AW48">
        <v>12.134</v>
      </c>
      <c r="AX48">
        <v>12.304</v>
      </c>
      <c r="AY48">
        <v>11.38</v>
      </c>
      <c r="AZ48">
        <v>8.1289999999999996</v>
      </c>
      <c r="BA48">
        <v>11.835000000000001</v>
      </c>
      <c r="BB48">
        <v>8.5570000000000004</v>
      </c>
      <c r="BC48">
        <v>10.223000000000001</v>
      </c>
      <c r="BD48">
        <v>11.877000000000001</v>
      </c>
      <c r="BE48">
        <v>12.353</v>
      </c>
      <c r="BF48">
        <v>12.010999999999999</v>
      </c>
      <c r="BG48">
        <v>7.9009999999999998</v>
      </c>
      <c r="BH48">
        <v>6.2510000000000003</v>
      </c>
      <c r="BI48">
        <v>11.736000000000001</v>
      </c>
      <c r="BJ48">
        <v>13.385</v>
      </c>
      <c r="BK48">
        <v>11.96</v>
      </c>
      <c r="BL48">
        <v>12.551</v>
      </c>
      <c r="BM48">
        <v>10.707000000000001</v>
      </c>
      <c r="BN48">
        <v>11.535</v>
      </c>
      <c r="BO48">
        <v>11.821</v>
      </c>
      <c r="BP48">
        <v>13.536</v>
      </c>
      <c r="BQ48">
        <v>9.4670000000000005</v>
      </c>
      <c r="BR48">
        <v>12.323</v>
      </c>
      <c r="BS48">
        <v>12.603999999999999</v>
      </c>
      <c r="BT48">
        <v>8.8420000000000005</v>
      </c>
      <c r="BU48">
        <v>7.681</v>
      </c>
      <c r="BV48">
        <v>11.163</v>
      </c>
      <c r="BW48">
        <v>13.647</v>
      </c>
      <c r="BX48">
        <v>7.4390000000000001</v>
      </c>
      <c r="BY48">
        <v>13.304</v>
      </c>
      <c r="BZ48">
        <v>11.814</v>
      </c>
      <c r="CA48">
        <v>12.286</v>
      </c>
      <c r="CB48">
        <v>10.747999999999999</v>
      </c>
      <c r="CC48">
        <v>11.765000000000001</v>
      </c>
      <c r="CD48">
        <v>12.643000000000001</v>
      </c>
      <c r="CE48">
        <v>11.154</v>
      </c>
      <c r="CF48">
        <v>12.242000000000001</v>
      </c>
      <c r="CG48">
        <v>12.205</v>
      </c>
      <c r="CH48">
        <v>10.653</v>
      </c>
      <c r="CI48">
        <v>11.135999999999999</v>
      </c>
      <c r="CJ48">
        <v>12.792</v>
      </c>
      <c r="CK48">
        <v>12.516</v>
      </c>
      <c r="CL48">
        <v>13.715999999999999</v>
      </c>
      <c r="CM48">
        <v>12.407</v>
      </c>
      <c r="CN48">
        <v>12.773999999999999</v>
      </c>
      <c r="CO48">
        <v>12.821</v>
      </c>
      <c r="CP48">
        <v>7.4550000000000001</v>
      </c>
      <c r="CQ48">
        <v>9.5350000000000001</v>
      </c>
      <c r="CR48">
        <v>12.961</v>
      </c>
      <c r="CS48">
        <v>11.77</v>
      </c>
      <c r="CT48">
        <v>8.4879999999999995</v>
      </c>
      <c r="CU48">
        <v>13.446999999999999</v>
      </c>
      <c r="CV48">
        <v>6.282</v>
      </c>
      <c r="CW48">
        <v>12.486000000000001</v>
      </c>
      <c r="CX48">
        <v>13.151999999999999</v>
      </c>
      <c r="CY48">
        <v>11.000999999999999</v>
      </c>
      <c r="CZ48">
        <v>13.750999999999999</v>
      </c>
      <c r="DA48">
        <v>11.994</v>
      </c>
      <c r="DB48">
        <v>12.287000000000001</v>
      </c>
      <c r="DC48">
        <v>11.326000000000001</v>
      </c>
      <c r="DD48">
        <v>12.29</v>
      </c>
      <c r="DE48">
        <v>5.923</v>
      </c>
      <c r="DF48">
        <v>11.866</v>
      </c>
      <c r="DG48">
        <v>12.911</v>
      </c>
      <c r="DH48">
        <v>12.278</v>
      </c>
      <c r="DI48">
        <v>10.456</v>
      </c>
      <c r="DJ48">
        <v>10.445</v>
      </c>
      <c r="DK48">
        <v>13.122999999999999</v>
      </c>
      <c r="DL48">
        <v>11.752000000000001</v>
      </c>
      <c r="DM48">
        <v>11.618</v>
      </c>
      <c r="DN48">
        <v>13.275</v>
      </c>
      <c r="DO48">
        <v>12.250999999999999</v>
      </c>
      <c r="DP48">
        <v>12.859</v>
      </c>
      <c r="DQ48">
        <v>6.681</v>
      </c>
      <c r="DR48">
        <v>13.721</v>
      </c>
      <c r="DS48">
        <v>12.006</v>
      </c>
      <c r="DT48">
        <v>13.154999999999999</v>
      </c>
      <c r="DU48">
        <v>13.965999999999999</v>
      </c>
      <c r="DV48">
        <v>11.353</v>
      </c>
      <c r="DW48">
        <v>11.43</v>
      </c>
      <c r="DX48">
        <v>10.364000000000001</v>
      </c>
      <c r="DY48">
        <v>12.32</v>
      </c>
      <c r="DZ48">
        <v>12.246</v>
      </c>
      <c r="EA48">
        <v>12.896000000000001</v>
      </c>
      <c r="EB48">
        <v>12.305999999999999</v>
      </c>
      <c r="EC48">
        <v>12.183</v>
      </c>
      <c r="ED48">
        <v>11.07</v>
      </c>
      <c r="EE48">
        <v>12.35</v>
      </c>
      <c r="EF48">
        <v>12.167</v>
      </c>
      <c r="EG48">
        <v>10.129</v>
      </c>
      <c r="EH48">
        <v>13.898</v>
      </c>
      <c r="EI48">
        <v>10.599</v>
      </c>
      <c r="EJ48">
        <v>9.1820000000000004</v>
      </c>
      <c r="EK48">
        <v>13.641999999999999</v>
      </c>
      <c r="EL48">
        <v>8.1419999999999995</v>
      </c>
      <c r="EM48">
        <v>13.127000000000001</v>
      </c>
      <c r="EN48">
        <v>11.666</v>
      </c>
      <c r="EO48">
        <v>13.968</v>
      </c>
      <c r="EP48">
        <v>9.5809999999999995</v>
      </c>
      <c r="EQ48">
        <v>7.4050000000000002</v>
      </c>
      <c r="ER48">
        <v>12.396000000000001</v>
      </c>
      <c r="ES48">
        <v>12.268000000000001</v>
      </c>
      <c r="ET48">
        <v>12.563000000000001</v>
      </c>
      <c r="EU48">
        <v>11.975</v>
      </c>
      <c r="EV48">
        <v>10.662000000000001</v>
      </c>
      <c r="EW48">
        <v>12.105</v>
      </c>
      <c r="EX48">
        <v>12.209</v>
      </c>
      <c r="EY48">
        <v>10.987</v>
      </c>
      <c r="EZ48">
        <v>12.12</v>
      </c>
      <c r="FA48">
        <v>13.097</v>
      </c>
      <c r="FB48">
        <v>13.276999999999999</v>
      </c>
      <c r="FC48">
        <v>13.613</v>
      </c>
      <c r="FD48">
        <v>12.895</v>
      </c>
      <c r="FE48">
        <v>10.872</v>
      </c>
      <c r="FF48">
        <v>10.682</v>
      </c>
      <c r="FG48">
        <v>10.382999999999999</v>
      </c>
      <c r="FH48">
        <v>9.9779999999999998</v>
      </c>
      <c r="FI48">
        <v>12.483000000000001</v>
      </c>
      <c r="FJ48">
        <v>12.291</v>
      </c>
      <c r="FK48">
        <v>7.5380000000000003</v>
      </c>
      <c r="FL48">
        <v>12.468</v>
      </c>
      <c r="FM48">
        <v>12.411</v>
      </c>
      <c r="FN48">
        <v>12.837999999999999</v>
      </c>
      <c r="FO48">
        <v>13.163</v>
      </c>
      <c r="FP48">
        <v>11.137</v>
      </c>
      <c r="FQ48">
        <v>10.789</v>
      </c>
      <c r="FR48">
        <v>12.648999999999999</v>
      </c>
      <c r="FS48">
        <v>10.369</v>
      </c>
      <c r="FT48">
        <v>12.792999999999999</v>
      </c>
      <c r="FU48">
        <v>12.441000000000001</v>
      </c>
      <c r="FV48">
        <v>13.052</v>
      </c>
      <c r="FW48">
        <v>13.204000000000001</v>
      </c>
      <c r="FX48">
        <v>7.5469999999999997</v>
      </c>
      <c r="FY48">
        <v>12.726000000000001</v>
      </c>
      <c r="FZ48">
        <v>8.9390000000000001</v>
      </c>
      <c r="GA48">
        <v>6.96</v>
      </c>
      <c r="GB48">
        <v>9.2249999999999996</v>
      </c>
      <c r="GC48">
        <v>13.420999999999999</v>
      </c>
      <c r="GD48">
        <v>10.28</v>
      </c>
      <c r="GE48">
        <v>11.305</v>
      </c>
      <c r="GF48">
        <v>12.698</v>
      </c>
      <c r="GG48">
        <v>11.29</v>
      </c>
      <c r="GH48">
        <v>12.458</v>
      </c>
      <c r="GI48">
        <v>13.677</v>
      </c>
      <c r="GJ48">
        <v>13.051</v>
      </c>
      <c r="GK48">
        <v>11.832000000000001</v>
      </c>
      <c r="GL48">
        <v>8.8559999999999999</v>
      </c>
      <c r="GM48">
        <v>11.036</v>
      </c>
      <c r="GN48">
        <v>13.422000000000001</v>
      </c>
      <c r="GO48">
        <v>12.010999999999999</v>
      </c>
      <c r="GP48">
        <v>11.555999999999999</v>
      </c>
      <c r="GQ48">
        <v>10.927</v>
      </c>
      <c r="GR48">
        <v>9.8130000000000006</v>
      </c>
      <c r="GS48">
        <v>12.852</v>
      </c>
      <c r="GT48">
        <v>13.01</v>
      </c>
      <c r="GU48">
        <v>7.742</v>
      </c>
      <c r="GV48">
        <v>13.340999999999999</v>
      </c>
      <c r="GW48">
        <v>13.574</v>
      </c>
      <c r="GX48">
        <v>12.686999999999999</v>
      </c>
      <c r="GY48">
        <v>12.898999999999999</v>
      </c>
      <c r="GZ48">
        <v>13.036</v>
      </c>
      <c r="HA48">
        <v>11.112</v>
      </c>
      <c r="HB48">
        <v>7.87</v>
      </c>
      <c r="HC48">
        <v>8.0779999999999994</v>
      </c>
      <c r="HD48">
        <v>12.428000000000001</v>
      </c>
      <c r="HE48">
        <v>12.856999999999999</v>
      </c>
      <c r="HF48">
        <v>9.0069999999999997</v>
      </c>
      <c r="HG48">
        <v>13.006</v>
      </c>
      <c r="HH48">
        <v>10.946</v>
      </c>
      <c r="HI48">
        <v>11.003</v>
      </c>
      <c r="HJ48">
        <v>11.579000000000001</v>
      </c>
      <c r="HK48">
        <v>13.436</v>
      </c>
      <c r="HL48">
        <v>13.504</v>
      </c>
      <c r="HM48">
        <v>8.7070000000000007</v>
      </c>
      <c r="HN48">
        <v>11.771000000000001</v>
      </c>
      <c r="HO48">
        <v>8.8320000000000007</v>
      </c>
      <c r="HP48">
        <v>12.384</v>
      </c>
      <c r="HQ48">
        <v>11.865</v>
      </c>
      <c r="HR48">
        <v>8.0950000000000006</v>
      </c>
      <c r="HS48">
        <v>8.3469999999999995</v>
      </c>
      <c r="HT48">
        <v>10.885999999999999</v>
      </c>
      <c r="HU48">
        <v>11.489000000000001</v>
      </c>
      <c r="HV48">
        <v>11.75</v>
      </c>
      <c r="HW48">
        <v>12.567</v>
      </c>
      <c r="HX48">
        <v>12.554</v>
      </c>
      <c r="HY48">
        <v>13.446999999999999</v>
      </c>
      <c r="HZ48">
        <v>12.464</v>
      </c>
      <c r="IA48">
        <v>11.93</v>
      </c>
      <c r="IB48">
        <v>11.48</v>
      </c>
      <c r="IC48">
        <v>11.387</v>
      </c>
      <c r="ID48">
        <v>10.726000000000001</v>
      </c>
      <c r="IE48">
        <v>12.327</v>
      </c>
      <c r="IF48">
        <v>13.49</v>
      </c>
      <c r="IG48">
        <v>13.08</v>
      </c>
      <c r="IH48">
        <v>10.866</v>
      </c>
      <c r="II48">
        <v>13.226000000000001</v>
      </c>
      <c r="IJ48">
        <v>11.69</v>
      </c>
      <c r="IK48">
        <v>11.461</v>
      </c>
      <c r="IL48">
        <v>13.967000000000001</v>
      </c>
      <c r="IM48">
        <v>12.193</v>
      </c>
      <c r="IN48">
        <v>12.901999999999999</v>
      </c>
      <c r="IO48">
        <v>12.77</v>
      </c>
      <c r="IP48">
        <v>12.789</v>
      </c>
      <c r="IQ48">
        <v>7.0990000000000002</v>
      </c>
      <c r="IR48">
        <v>11.329000000000001</v>
      </c>
      <c r="IS48">
        <v>12.087</v>
      </c>
      <c r="IT48">
        <v>12.456</v>
      </c>
      <c r="IU48">
        <v>12.433</v>
      </c>
      <c r="IV48">
        <v>11.35</v>
      </c>
      <c r="IW48">
        <v>9.7260000000000009</v>
      </c>
      <c r="IX48">
        <v>12.67</v>
      </c>
      <c r="IY48">
        <v>12.619</v>
      </c>
      <c r="IZ48">
        <v>12.164</v>
      </c>
      <c r="JA48">
        <v>12.343</v>
      </c>
      <c r="JB48">
        <v>11.798999999999999</v>
      </c>
      <c r="JC48">
        <v>12.776999999999999</v>
      </c>
      <c r="JD48">
        <v>12.192</v>
      </c>
      <c r="JE48">
        <v>10.077</v>
      </c>
      <c r="JF48">
        <v>11.974</v>
      </c>
      <c r="JG48">
        <v>13.651</v>
      </c>
      <c r="JH48">
        <v>11.612</v>
      </c>
      <c r="JI48">
        <v>8.3190000000000008</v>
      </c>
      <c r="JJ48">
        <v>12.162000000000001</v>
      </c>
      <c r="JK48">
        <v>8.4550000000000001</v>
      </c>
      <c r="JL48">
        <v>12.177</v>
      </c>
      <c r="JM48">
        <v>13.151</v>
      </c>
      <c r="JN48">
        <v>11.79</v>
      </c>
      <c r="JO48">
        <v>12.279</v>
      </c>
      <c r="JP48">
        <v>9.1189999999999998</v>
      </c>
      <c r="JQ48">
        <v>12.858000000000001</v>
      </c>
      <c r="JR48">
        <v>12.044</v>
      </c>
      <c r="JS48">
        <v>13.364000000000001</v>
      </c>
      <c r="JT48">
        <v>12.114000000000001</v>
      </c>
      <c r="JU48">
        <v>12.121</v>
      </c>
      <c r="JV48">
        <v>11.534000000000001</v>
      </c>
      <c r="JW48">
        <v>13.746</v>
      </c>
      <c r="JX48">
        <v>12.042</v>
      </c>
      <c r="JY48">
        <v>9.4120000000000008</v>
      </c>
      <c r="JZ48">
        <v>8.1219999999999999</v>
      </c>
      <c r="KA48">
        <v>11.077999999999999</v>
      </c>
      <c r="KB48">
        <v>11.763</v>
      </c>
      <c r="KC48">
        <v>12.103</v>
      </c>
      <c r="KD48">
        <v>12.315</v>
      </c>
      <c r="KE48">
        <v>9.5259999999999998</v>
      </c>
      <c r="KF48">
        <v>8.3379999999999992</v>
      </c>
      <c r="KG48">
        <v>13.288</v>
      </c>
      <c r="KH48">
        <v>13.957000000000001</v>
      </c>
      <c r="KI48">
        <v>12.07</v>
      </c>
      <c r="KJ48">
        <v>11.738</v>
      </c>
      <c r="KK48">
        <v>12.535</v>
      </c>
      <c r="KL48">
        <v>10.351000000000001</v>
      </c>
      <c r="KM48">
        <v>8.9440000000000008</v>
      </c>
      <c r="KN48">
        <v>12.834</v>
      </c>
      <c r="KO48">
        <v>11.712999999999999</v>
      </c>
      <c r="KP48">
        <v>10.247</v>
      </c>
      <c r="KQ48">
        <v>8.4939999999999998</v>
      </c>
      <c r="KR48">
        <v>8.2940000000000005</v>
      </c>
    </row>
    <row r="49" spans="1:304" x14ac:dyDescent="0.25">
      <c r="A49">
        <v>2017</v>
      </c>
      <c r="B49">
        <v>10</v>
      </c>
      <c r="C49">
        <v>0.32600000000000001</v>
      </c>
      <c r="D49">
        <v>7.8079999999999998</v>
      </c>
      <c r="E49">
        <v>8.8979999999999997</v>
      </c>
      <c r="F49">
        <v>8.27</v>
      </c>
      <c r="G49">
        <v>8.27</v>
      </c>
      <c r="H49">
        <v>7.3239999999999998</v>
      </c>
      <c r="I49">
        <v>1.218</v>
      </c>
      <c r="J49">
        <v>0.91800000000000004</v>
      </c>
      <c r="K49">
        <v>6.5490000000000004</v>
      </c>
      <c r="L49">
        <v>7.2859999999999996</v>
      </c>
      <c r="M49">
        <v>6.0179999999999998</v>
      </c>
      <c r="N49">
        <v>7.27</v>
      </c>
      <c r="O49">
        <v>3.0089999999999999</v>
      </c>
      <c r="P49">
        <v>10.377000000000001</v>
      </c>
      <c r="Q49">
        <v>2.6720000000000002</v>
      </c>
      <c r="R49">
        <v>8.1769999999999996</v>
      </c>
      <c r="S49">
        <v>5.0949999999999998</v>
      </c>
      <c r="T49">
        <v>9.8800000000000008</v>
      </c>
      <c r="U49">
        <v>5.5389999999999997</v>
      </c>
      <c r="V49">
        <v>7.7329999999999997</v>
      </c>
      <c r="W49">
        <v>7.39</v>
      </c>
      <c r="X49">
        <v>9.3379999999999992</v>
      </c>
      <c r="Y49">
        <v>9.8610000000000007</v>
      </c>
      <c r="Z49">
        <v>3.5310000000000001</v>
      </c>
      <c r="AA49">
        <v>11.057</v>
      </c>
      <c r="AB49">
        <v>10.462999999999999</v>
      </c>
      <c r="AC49">
        <v>5.8490000000000002</v>
      </c>
      <c r="AD49">
        <v>7.2190000000000003</v>
      </c>
      <c r="AE49">
        <v>7.6360000000000001</v>
      </c>
      <c r="AF49">
        <v>6.69</v>
      </c>
      <c r="AG49">
        <v>5.3250000000000002</v>
      </c>
      <c r="AH49">
        <v>3.0350000000000001</v>
      </c>
      <c r="AI49">
        <v>4.4960000000000004</v>
      </c>
      <c r="AJ49">
        <v>7.4059999999999997</v>
      </c>
      <c r="AK49">
        <v>8.4529999999999994</v>
      </c>
      <c r="AL49">
        <v>7.0220000000000002</v>
      </c>
      <c r="AM49">
        <v>7.2859999999999996</v>
      </c>
      <c r="AN49">
        <v>10.308</v>
      </c>
      <c r="AO49">
        <v>8.0679999999999996</v>
      </c>
      <c r="AP49">
        <v>6.3630000000000004</v>
      </c>
      <c r="AQ49">
        <v>10.182</v>
      </c>
      <c r="AR49">
        <v>7.4870000000000001</v>
      </c>
      <c r="AS49">
        <v>11.645</v>
      </c>
      <c r="AT49">
        <v>5.5940000000000003</v>
      </c>
      <c r="AU49">
        <v>5.9589999999999996</v>
      </c>
      <c r="AV49">
        <v>6.1669999999999998</v>
      </c>
      <c r="AW49">
        <v>7.5620000000000003</v>
      </c>
      <c r="AX49">
        <v>7.1369999999999996</v>
      </c>
      <c r="AY49">
        <v>6.84</v>
      </c>
      <c r="AZ49">
        <v>2.3809999999999998</v>
      </c>
      <c r="BA49">
        <v>7.8440000000000003</v>
      </c>
      <c r="BB49">
        <v>3.0760000000000001</v>
      </c>
      <c r="BC49">
        <v>4.9130000000000003</v>
      </c>
      <c r="BD49">
        <v>7.907</v>
      </c>
      <c r="BE49">
        <v>7.1340000000000003</v>
      </c>
      <c r="BF49">
        <v>8.3559999999999999</v>
      </c>
      <c r="BG49">
        <v>1.792</v>
      </c>
      <c r="BH49">
        <v>0.13700000000000001</v>
      </c>
      <c r="BI49">
        <v>6.4219999999999997</v>
      </c>
      <c r="BJ49">
        <v>9.7200000000000006</v>
      </c>
      <c r="BK49">
        <v>8.2780000000000005</v>
      </c>
      <c r="BL49">
        <v>7.35</v>
      </c>
      <c r="BM49">
        <v>5.4809999999999999</v>
      </c>
      <c r="BN49">
        <v>7.306</v>
      </c>
      <c r="BO49">
        <v>6.7949999999999999</v>
      </c>
      <c r="BP49">
        <v>10.185</v>
      </c>
      <c r="BQ49">
        <v>3.8159999999999998</v>
      </c>
      <c r="BR49">
        <v>8.1389999999999993</v>
      </c>
      <c r="BS49">
        <v>7.5579999999999998</v>
      </c>
      <c r="BT49">
        <v>2.8620000000000001</v>
      </c>
      <c r="BU49">
        <v>2.4260000000000002</v>
      </c>
      <c r="BV49">
        <v>5.7839999999999998</v>
      </c>
      <c r="BW49">
        <v>10.762</v>
      </c>
      <c r="BX49">
        <v>1.4390000000000001</v>
      </c>
      <c r="BY49">
        <v>8.6929999999999996</v>
      </c>
      <c r="BZ49">
        <v>7.8929999999999998</v>
      </c>
      <c r="CA49">
        <v>8.6050000000000004</v>
      </c>
      <c r="CB49">
        <v>5.399</v>
      </c>
      <c r="CC49">
        <v>7.7039999999999997</v>
      </c>
      <c r="CD49">
        <v>7.4850000000000003</v>
      </c>
      <c r="CE49">
        <v>6.1639999999999997</v>
      </c>
      <c r="CF49">
        <v>8.0749999999999993</v>
      </c>
      <c r="CG49">
        <v>8.5709999999999997</v>
      </c>
      <c r="CH49">
        <v>5.7770000000000001</v>
      </c>
      <c r="CI49">
        <v>5.9420000000000002</v>
      </c>
      <c r="CJ49">
        <v>9.0559999999999992</v>
      </c>
      <c r="CK49">
        <v>9.4600000000000009</v>
      </c>
      <c r="CL49">
        <v>10.988</v>
      </c>
      <c r="CM49">
        <v>8.4079999999999995</v>
      </c>
      <c r="CN49">
        <v>9.7620000000000005</v>
      </c>
      <c r="CO49">
        <v>9.8010000000000002</v>
      </c>
      <c r="CP49">
        <v>0.99</v>
      </c>
      <c r="CQ49">
        <v>3.621</v>
      </c>
      <c r="CR49">
        <v>7.7649999999999997</v>
      </c>
      <c r="CS49">
        <v>7.9050000000000002</v>
      </c>
      <c r="CT49">
        <v>2.5950000000000002</v>
      </c>
      <c r="CU49">
        <v>9.673</v>
      </c>
      <c r="CV49">
        <v>-0.65400000000000003</v>
      </c>
      <c r="CW49">
        <v>8.5719999999999992</v>
      </c>
      <c r="CX49">
        <v>9.6560000000000006</v>
      </c>
      <c r="CY49">
        <v>6.47</v>
      </c>
      <c r="CZ49">
        <v>10.051</v>
      </c>
      <c r="DA49">
        <v>7.6669999999999998</v>
      </c>
      <c r="DB49">
        <v>7.2560000000000002</v>
      </c>
      <c r="DC49">
        <v>6.9020000000000001</v>
      </c>
      <c r="DD49">
        <v>8.4359999999999999</v>
      </c>
      <c r="DE49">
        <v>-0.29399999999999998</v>
      </c>
      <c r="DF49">
        <v>7.7370000000000001</v>
      </c>
      <c r="DG49">
        <v>9.984</v>
      </c>
      <c r="DH49">
        <v>6.9130000000000003</v>
      </c>
      <c r="DI49">
        <v>5.4580000000000002</v>
      </c>
      <c r="DJ49">
        <v>4.9020000000000001</v>
      </c>
      <c r="DK49">
        <v>10.035</v>
      </c>
      <c r="DL49">
        <v>7.2629999999999999</v>
      </c>
      <c r="DM49">
        <v>7.3639999999999999</v>
      </c>
      <c r="DN49">
        <v>9.6259999999999994</v>
      </c>
      <c r="DO49">
        <v>7.3440000000000003</v>
      </c>
      <c r="DP49">
        <v>9.1620000000000008</v>
      </c>
      <c r="DQ49">
        <v>0.47199999999999998</v>
      </c>
      <c r="DR49">
        <v>10.762</v>
      </c>
      <c r="DS49">
        <v>7.0410000000000004</v>
      </c>
      <c r="DT49">
        <v>10.041</v>
      </c>
      <c r="DU49">
        <v>11.019</v>
      </c>
      <c r="DV49">
        <v>7.1849999999999996</v>
      </c>
      <c r="DW49">
        <v>7.1360000000000001</v>
      </c>
      <c r="DX49">
        <v>4.9400000000000004</v>
      </c>
      <c r="DY49">
        <v>8.5920000000000005</v>
      </c>
      <c r="DZ49">
        <v>8.2029999999999994</v>
      </c>
      <c r="EA49">
        <v>7.61</v>
      </c>
      <c r="EB49">
        <v>8.6679999999999993</v>
      </c>
      <c r="EC49">
        <v>8.4610000000000003</v>
      </c>
      <c r="ED49">
        <v>6.23</v>
      </c>
      <c r="EE49">
        <v>8.1479999999999997</v>
      </c>
      <c r="EF49">
        <v>8.56</v>
      </c>
      <c r="EG49">
        <v>4.8440000000000003</v>
      </c>
      <c r="EH49">
        <v>11.061999999999999</v>
      </c>
      <c r="EI49">
        <v>5.57</v>
      </c>
      <c r="EJ49">
        <v>3.508</v>
      </c>
      <c r="EK49">
        <v>10.759</v>
      </c>
      <c r="EL49">
        <v>2.4540000000000002</v>
      </c>
      <c r="EM49">
        <v>9.5960000000000001</v>
      </c>
      <c r="EN49">
        <v>7.7880000000000003</v>
      </c>
      <c r="EO49">
        <v>11.156000000000001</v>
      </c>
      <c r="EP49">
        <v>4.2629999999999999</v>
      </c>
      <c r="EQ49">
        <v>1.415</v>
      </c>
      <c r="ER49">
        <v>8.7110000000000003</v>
      </c>
      <c r="ES49">
        <v>9.0340000000000007</v>
      </c>
      <c r="ET49">
        <v>8.7080000000000002</v>
      </c>
      <c r="EU49">
        <v>8.1180000000000003</v>
      </c>
      <c r="EV49">
        <v>5.2130000000000001</v>
      </c>
      <c r="EW49">
        <v>8.1219999999999999</v>
      </c>
      <c r="EX49">
        <v>8.2050000000000001</v>
      </c>
      <c r="EY49">
        <v>5.944</v>
      </c>
      <c r="EZ49">
        <v>6.7759999999999998</v>
      </c>
      <c r="FA49">
        <v>9.3870000000000005</v>
      </c>
      <c r="FB49">
        <v>9.3520000000000003</v>
      </c>
      <c r="FC49">
        <v>9.8309999999999995</v>
      </c>
      <c r="FD49">
        <v>7.641</v>
      </c>
      <c r="FE49">
        <v>6.194</v>
      </c>
      <c r="FF49">
        <v>5.5730000000000004</v>
      </c>
      <c r="FG49">
        <v>5.42</v>
      </c>
      <c r="FH49">
        <v>4.6150000000000002</v>
      </c>
      <c r="FI49">
        <v>7.9589999999999996</v>
      </c>
      <c r="FJ49">
        <v>6.8780000000000001</v>
      </c>
      <c r="FK49">
        <v>1.841</v>
      </c>
      <c r="FL49">
        <v>8.7170000000000005</v>
      </c>
      <c r="FM49">
        <v>7.2329999999999997</v>
      </c>
      <c r="FN49">
        <v>7.9059999999999997</v>
      </c>
      <c r="FO49">
        <v>8.3580000000000005</v>
      </c>
      <c r="FP49">
        <v>7.1840000000000002</v>
      </c>
      <c r="FQ49">
        <v>5.4660000000000002</v>
      </c>
      <c r="FR49">
        <v>9.2029999999999994</v>
      </c>
      <c r="FS49">
        <v>4.8819999999999997</v>
      </c>
      <c r="FT49">
        <v>9.1</v>
      </c>
      <c r="FU49">
        <v>9.1069999999999993</v>
      </c>
      <c r="FV49">
        <v>9.0020000000000007</v>
      </c>
      <c r="FW49">
        <v>8.4809999999999999</v>
      </c>
      <c r="FX49">
        <v>0.66600000000000004</v>
      </c>
      <c r="FY49">
        <v>9.0050000000000008</v>
      </c>
      <c r="FZ49">
        <v>3.238</v>
      </c>
      <c r="GA49">
        <v>1.0149999999999999</v>
      </c>
      <c r="GB49">
        <v>3.8319999999999999</v>
      </c>
      <c r="GC49">
        <v>9.7929999999999993</v>
      </c>
      <c r="GD49">
        <v>4.8739999999999997</v>
      </c>
      <c r="GE49">
        <v>6.1849999999999996</v>
      </c>
      <c r="GF49">
        <v>7.5439999999999996</v>
      </c>
      <c r="GG49">
        <v>5.9770000000000003</v>
      </c>
      <c r="GH49">
        <v>7.1779999999999999</v>
      </c>
      <c r="GI49">
        <v>10.667</v>
      </c>
      <c r="GJ49">
        <v>10.169</v>
      </c>
      <c r="GK49">
        <v>7.9829999999999997</v>
      </c>
      <c r="GL49">
        <v>3.5070000000000001</v>
      </c>
      <c r="GM49">
        <v>6.1189999999999998</v>
      </c>
      <c r="GN49">
        <v>10.478</v>
      </c>
      <c r="GO49">
        <v>6.91</v>
      </c>
      <c r="GP49">
        <v>7.806</v>
      </c>
      <c r="GQ49">
        <v>5.8609999999999998</v>
      </c>
      <c r="GR49">
        <v>3.8</v>
      </c>
      <c r="GS49">
        <v>7.6180000000000003</v>
      </c>
      <c r="GT49">
        <v>7.7629999999999999</v>
      </c>
      <c r="GU49">
        <v>1.462</v>
      </c>
      <c r="GV49">
        <v>10.045999999999999</v>
      </c>
      <c r="GW49">
        <v>10.742000000000001</v>
      </c>
      <c r="GX49">
        <v>9.0269999999999992</v>
      </c>
      <c r="GY49">
        <v>7.6619999999999999</v>
      </c>
      <c r="GZ49">
        <v>7.81</v>
      </c>
      <c r="HA49">
        <v>6.3239999999999998</v>
      </c>
      <c r="HB49">
        <v>2.54</v>
      </c>
      <c r="HC49">
        <v>1.869</v>
      </c>
      <c r="HD49">
        <v>7.2370000000000001</v>
      </c>
      <c r="HE49">
        <v>8.9920000000000009</v>
      </c>
      <c r="HF49">
        <v>3.363</v>
      </c>
      <c r="HG49">
        <v>7.7750000000000004</v>
      </c>
      <c r="HH49">
        <v>5.8259999999999996</v>
      </c>
      <c r="HI49">
        <v>6.29</v>
      </c>
      <c r="HJ49">
        <v>6.5279999999999996</v>
      </c>
      <c r="HK49">
        <v>10.391999999999999</v>
      </c>
      <c r="HL49">
        <v>10.647</v>
      </c>
      <c r="HM49">
        <v>3.2349999999999999</v>
      </c>
      <c r="HN49">
        <v>7.843</v>
      </c>
      <c r="HO49">
        <v>3.5390000000000001</v>
      </c>
      <c r="HP49">
        <v>8.7919999999999998</v>
      </c>
      <c r="HQ49">
        <v>7.7839999999999998</v>
      </c>
      <c r="HR49">
        <v>2.9750000000000001</v>
      </c>
      <c r="HS49">
        <v>2.5649999999999999</v>
      </c>
      <c r="HT49">
        <v>5.657</v>
      </c>
      <c r="HU49">
        <v>7.4539999999999997</v>
      </c>
      <c r="HV49">
        <v>6.5590000000000002</v>
      </c>
      <c r="HW49">
        <v>8.077</v>
      </c>
      <c r="HX49">
        <v>7.3860000000000001</v>
      </c>
      <c r="HY49">
        <v>10.003</v>
      </c>
      <c r="HZ49">
        <v>8.5449999999999999</v>
      </c>
      <c r="IA49">
        <v>8.1150000000000002</v>
      </c>
      <c r="IB49">
        <v>7.6539999999999999</v>
      </c>
      <c r="IC49">
        <v>6.1920000000000002</v>
      </c>
      <c r="ID49">
        <v>5.4349999999999996</v>
      </c>
      <c r="IE49">
        <v>8.6890000000000001</v>
      </c>
      <c r="IF49">
        <v>10.143000000000001</v>
      </c>
      <c r="IG49">
        <v>10.16</v>
      </c>
      <c r="IH49">
        <v>5.6929999999999996</v>
      </c>
      <c r="II49">
        <v>9.5830000000000002</v>
      </c>
      <c r="IJ49">
        <v>7.6890000000000001</v>
      </c>
      <c r="IK49">
        <v>7.6609999999999996</v>
      </c>
      <c r="IL49">
        <v>11.183999999999999</v>
      </c>
      <c r="IM49">
        <v>8.3889999999999993</v>
      </c>
      <c r="IN49">
        <v>7.89</v>
      </c>
      <c r="IO49">
        <v>7.5940000000000003</v>
      </c>
      <c r="IP49">
        <v>7.5049999999999999</v>
      </c>
      <c r="IQ49">
        <v>1.8089999999999999</v>
      </c>
      <c r="IR49">
        <v>6.0469999999999997</v>
      </c>
      <c r="IS49">
        <v>8.0429999999999993</v>
      </c>
      <c r="IT49">
        <v>8.61</v>
      </c>
      <c r="IU49">
        <v>8.7799999999999994</v>
      </c>
      <c r="IV49">
        <v>7.39</v>
      </c>
      <c r="IW49">
        <v>4.1890000000000001</v>
      </c>
      <c r="IX49">
        <v>7.5039999999999996</v>
      </c>
      <c r="IY49">
        <v>7.3659999999999997</v>
      </c>
      <c r="IZ49">
        <v>6.8390000000000004</v>
      </c>
      <c r="JA49">
        <v>8.5649999999999995</v>
      </c>
      <c r="JB49">
        <v>7.6959999999999997</v>
      </c>
      <c r="JC49">
        <v>8.3379999999999992</v>
      </c>
      <c r="JD49">
        <v>6.8159999999999998</v>
      </c>
      <c r="JE49">
        <v>4.7480000000000002</v>
      </c>
      <c r="JF49">
        <v>8.2059999999999995</v>
      </c>
      <c r="JG49">
        <v>10.196</v>
      </c>
      <c r="JH49">
        <v>7.5830000000000002</v>
      </c>
      <c r="JI49">
        <v>2.1920000000000002</v>
      </c>
      <c r="JJ49">
        <v>7.9429999999999996</v>
      </c>
      <c r="JK49">
        <v>2.823</v>
      </c>
      <c r="JL49">
        <v>7.3360000000000003</v>
      </c>
      <c r="JM49">
        <v>8.8520000000000003</v>
      </c>
      <c r="JN49">
        <v>7.9370000000000003</v>
      </c>
      <c r="JO49">
        <v>8.4440000000000008</v>
      </c>
      <c r="JP49">
        <v>3.5569999999999999</v>
      </c>
      <c r="JQ49">
        <v>7.6150000000000002</v>
      </c>
      <c r="JR49">
        <v>8.1219999999999999</v>
      </c>
      <c r="JS49">
        <v>9.1240000000000006</v>
      </c>
      <c r="JT49">
        <v>7.109</v>
      </c>
      <c r="JU49">
        <v>8.218</v>
      </c>
      <c r="JV49">
        <v>7.5659999999999998</v>
      </c>
      <c r="JW49">
        <v>10.728</v>
      </c>
      <c r="JX49">
        <v>8.0440000000000005</v>
      </c>
      <c r="JY49">
        <v>4.0259999999999998</v>
      </c>
      <c r="JZ49">
        <v>3</v>
      </c>
      <c r="KA49">
        <v>6.6310000000000002</v>
      </c>
      <c r="KB49">
        <v>7.6630000000000003</v>
      </c>
      <c r="KC49">
        <v>7.8220000000000001</v>
      </c>
      <c r="KD49">
        <v>8.8239999999999998</v>
      </c>
      <c r="KE49">
        <v>3.895</v>
      </c>
      <c r="KF49">
        <v>2.3279999999999998</v>
      </c>
      <c r="KG49">
        <v>10.417999999999999</v>
      </c>
      <c r="KH49">
        <v>10.696</v>
      </c>
      <c r="KI49">
        <v>8.4090000000000007</v>
      </c>
      <c r="KJ49">
        <v>7.3019999999999996</v>
      </c>
      <c r="KK49">
        <v>9.5289999999999999</v>
      </c>
      <c r="KL49">
        <v>4.8760000000000003</v>
      </c>
      <c r="KM49">
        <v>3.7919999999999998</v>
      </c>
      <c r="KN49">
        <v>7.5220000000000002</v>
      </c>
      <c r="KO49">
        <v>6.601</v>
      </c>
      <c r="KP49">
        <v>5.0209999999999999</v>
      </c>
      <c r="KQ49">
        <v>1.94</v>
      </c>
      <c r="KR49">
        <v>1.9550000000000001</v>
      </c>
    </row>
    <row r="50" spans="1:304" x14ac:dyDescent="0.25">
      <c r="A50">
        <v>2017</v>
      </c>
      <c r="B50">
        <v>11</v>
      </c>
      <c r="C50">
        <v>-5.282</v>
      </c>
      <c r="D50">
        <v>3.4540000000000002</v>
      </c>
      <c r="E50">
        <v>3.5920000000000001</v>
      </c>
      <c r="F50">
        <v>2.8140000000000001</v>
      </c>
      <c r="G50">
        <v>3.0209999999999999</v>
      </c>
      <c r="H50">
        <v>2.4830000000000001</v>
      </c>
      <c r="I50">
        <v>-6.9329999999999998</v>
      </c>
      <c r="J50">
        <v>-5.9649999999999999</v>
      </c>
      <c r="K50">
        <v>0.72099999999999997</v>
      </c>
      <c r="L50">
        <v>2.62</v>
      </c>
      <c r="M50">
        <v>1.0900000000000001</v>
      </c>
      <c r="N50">
        <v>1.6240000000000001</v>
      </c>
      <c r="O50">
        <v>-2.9089999999999998</v>
      </c>
      <c r="P50">
        <v>5.085</v>
      </c>
      <c r="Q50">
        <v>-4.4800000000000004</v>
      </c>
      <c r="R50">
        <v>2.7349999999999999</v>
      </c>
      <c r="S50">
        <v>9.4E-2</v>
      </c>
      <c r="T50">
        <v>4.883</v>
      </c>
      <c r="U50">
        <v>0.68600000000000005</v>
      </c>
      <c r="V50">
        <v>2.4500000000000002</v>
      </c>
      <c r="W50">
        <v>3.0390000000000001</v>
      </c>
      <c r="X50">
        <v>4.0519999999999996</v>
      </c>
      <c r="Y50">
        <v>4.6840000000000002</v>
      </c>
      <c r="Z50">
        <v>-2.86</v>
      </c>
      <c r="AA50">
        <v>5.9740000000000002</v>
      </c>
      <c r="AB50">
        <v>5.2549999999999999</v>
      </c>
      <c r="AC50">
        <v>-7.0999999999999994E-2</v>
      </c>
      <c r="AD50">
        <v>1.758</v>
      </c>
      <c r="AE50">
        <v>3.472</v>
      </c>
      <c r="AF50">
        <v>1.629</v>
      </c>
      <c r="AG50">
        <v>-0.217</v>
      </c>
      <c r="AH50">
        <v>-4.9580000000000002</v>
      </c>
      <c r="AI50">
        <v>-0.317</v>
      </c>
      <c r="AJ50">
        <v>2.298</v>
      </c>
      <c r="AK50">
        <v>3.302</v>
      </c>
      <c r="AL50">
        <v>2.4329999999999998</v>
      </c>
      <c r="AM50">
        <v>2.7290000000000001</v>
      </c>
      <c r="AN50">
        <v>5.0910000000000002</v>
      </c>
      <c r="AO50">
        <v>2.5870000000000002</v>
      </c>
      <c r="AP50">
        <v>1.141</v>
      </c>
      <c r="AQ50">
        <v>5.36</v>
      </c>
      <c r="AR50">
        <v>2.2999999999999998</v>
      </c>
      <c r="AS50">
        <v>7.2220000000000004</v>
      </c>
      <c r="AT50">
        <v>0.73399999999999999</v>
      </c>
      <c r="AU50">
        <v>0.92500000000000004</v>
      </c>
      <c r="AV50">
        <v>1.859</v>
      </c>
      <c r="AW50">
        <v>2.5</v>
      </c>
      <c r="AX50">
        <v>2.4380000000000002</v>
      </c>
      <c r="AY50">
        <v>1.3180000000000001</v>
      </c>
      <c r="AZ50">
        <v>-4.0960000000000001</v>
      </c>
      <c r="BA50">
        <v>2.484</v>
      </c>
      <c r="BB50">
        <v>-4.4020000000000001</v>
      </c>
      <c r="BC50">
        <v>8.4000000000000005E-2</v>
      </c>
      <c r="BD50">
        <v>2.6339999999999999</v>
      </c>
      <c r="BE50">
        <v>2.6280000000000001</v>
      </c>
      <c r="BF50">
        <v>2.8889999999999998</v>
      </c>
      <c r="BG50">
        <v>-5.6760000000000002</v>
      </c>
      <c r="BH50">
        <v>-7.4740000000000002</v>
      </c>
      <c r="BI50">
        <v>1.911</v>
      </c>
      <c r="BJ50">
        <v>4.7229999999999999</v>
      </c>
      <c r="BK50">
        <v>3.1139999999999999</v>
      </c>
      <c r="BL50">
        <v>3.01</v>
      </c>
      <c r="BM50">
        <v>9.9000000000000005E-2</v>
      </c>
      <c r="BN50">
        <v>2.39</v>
      </c>
      <c r="BO50">
        <v>1.9019999999999999</v>
      </c>
      <c r="BP50">
        <v>5.141</v>
      </c>
      <c r="BQ50">
        <v>-3.1150000000000002</v>
      </c>
      <c r="BR50">
        <v>2.923</v>
      </c>
      <c r="BS50">
        <v>3.1440000000000001</v>
      </c>
      <c r="BT50">
        <v>-1.9570000000000001</v>
      </c>
      <c r="BU50">
        <v>-4.016</v>
      </c>
      <c r="BV50">
        <v>0.93300000000000005</v>
      </c>
      <c r="BW50">
        <v>5.5780000000000003</v>
      </c>
      <c r="BX50">
        <v>-5.5250000000000004</v>
      </c>
      <c r="BY50">
        <v>4.8310000000000004</v>
      </c>
      <c r="BZ50">
        <v>2.5640000000000001</v>
      </c>
      <c r="CA50">
        <v>3.7480000000000002</v>
      </c>
      <c r="CB50">
        <v>0.86299999999999999</v>
      </c>
      <c r="CC50">
        <v>2.585</v>
      </c>
      <c r="CD50">
        <v>3.1709999999999998</v>
      </c>
      <c r="CE50">
        <v>0.80300000000000005</v>
      </c>
      <c r="CF50">
        <v>2.847</v>
      </c>
      <c r="CG50">
        <v>3.1680000000000001</v>
      </c>
      <c r="CH50">
        <v>0.91500000000000004</v>
      </c>
      <c r="CI50">
        <v>0.318</v>
      </c>
      <c r="CJ50">
        <v>3.86</v>
      </c>
      <c r="CK50">
        <v>3.9470000000000001</v>
      </c>
      <c r="CL50">
        <v>6.0170000000000003</v>
      </c>
      <c r="CM50">
        <v>3.14</v>
      </c>
      <c r="CN50">
        <v>4.5670000000000002</v>
      </c>
      <c r="CO50">
        <v>4.4779999999999998</v>
      </c>
      <c r="CP50">
        <v>-7.2809999999999997</v>
      </c>
      <c r="CQ50">
        <v>-3.9580000000000002</v>
      </c>
      <c r="CR50">
        <v>3.6309999999999998</v>
      </c>
      <c r="CS50">
        <v>2.76</v>
      </c>
      <c r="CT50">
        <v>-3.258</v>
      </c>
      <c r="CU50">
        <v>4.524</v>
      </c>
      <c r="CV50">
        <v>-8.6820000000000004</v>
      </c>
      <c r="CW50">
        <v>3.742</v>
      </c>
      <c r="CX50">
        <v>4.5709999999999997</v>
      </c>
      <c r="CY50">
        <v>1.4690000000000001</v>
      </c>
      <c r="CZ50">
        <v>5.2649999999999997</v>
      </c>
      <c r="DA50">
        <v>2.4169999999999998</v>
      </c>
      <c r="DB50">
        <v>2.4159999999999999</v>
      </c>
      <c r="DC50">
        <v>1.2470000000000001</v>
      </c>
      <c r="DD50">
        <v>3.032</v>
      </c>
      <c r="DE50">
        <v>-7.51</v>
      </c>
      <c r="DF50">
        <v>2.5259999999999998</v>
      </c>
      <c r="DG50">
        <v>4.5410000000000004</v>
      </c>
      <c r="DH50">
        <v>2.5819999999999999</v>
      </c>
      <c r="DI50">
        <v>0.44900000000000001</v>
      </c>
      <c r="DJ50">
        <v>-1.323</v>
      </c>
      <c r="DK50">
        <v>4.7060000000000004</v>
      </c>
      <c r="DL50">
        <v>2.2829999999999999</v>
      </c>
      <c r="DM50">
        <v>2.3769999999999998</v>
      </c>
      <c r="DN50">
        <v>4.6180000000000003</v>
      </c>
      <c r="DO50">
        <v>2.6459999999999999</v>
      </c>
      <c r="DP50">
        <v>3.9660000000000002</v>
      </c>
      <c r="DQ50">
        <v>-7.3849999999999998</v>
      </c>
      <c r="DR50">
        <v>5.6189999999999998</v>
      </c>
      <c r="DS50">
        <v>2.1749999999999998</v>
      </c>
      <c r="DT50">
        <v>4.6970000000000001</v>
      </c>
      <c r="DU50">
        <v>5.9470000000000001</v>
      </c>
      <c r="DV50">
        <v>2.367</v>
      </c>
      <c r="DW50">
        <v>2.1520000000000001</v>
      </c>
      <c r="DX50">
        <v>4.2000000000000003E-2</v>
      </c>
      <c r="DY50">
        <v>3.258</v>
      </c>
      <c r="DZ50">
        <v>3.11</v>
      </c>
      <c r="EA50">
        <v>3.3809999999999998</v>
      </c>
      <c r="EB50">
        <v>3.3290000000000002</v>
      </c>
      <c r="EC50">
        <v>3.048</v>
      </c>
      <c r="ED50">
        <v>1.0840000000000001</v>
      </c>
      <c r="EE50">
        <v>3.234</v>
      </c>
      <c r="EF50">
        <v>3.129</v>
      </c>
      <c r="EG50">
        <v>-0.93200000000000005</v>
      </c>
      <c r="EH50">
        <v>5.9880000000000004</v>
      </c>
      <c r="EI50">
        <v>0.80900000000000005</v>
      </c>
      <c r="EJ50">
        <v>-2.63</v>
      </c>
      <c r="EK50">
        <v>5.601</v>
      </c>
      <c r="EL50">
        <v>-5.1319999999999997</v>
      </c>
      <c r="EM50">
        <v>4.8570000000000002</v>
      </c>
      <c r="EN50">
        <v>2.8580000000000001</v>
      </c>
      <c r="EO50">
        <v>6.1390000000000002</v>
      </c>
      <c r="EP50">
        <v>-1.3540000000000001</v>
      </c>
      <c r="EQ50">
        <v>-5.8289999999999997</v>
      </c>
      <c r="ER50">
        <v>3.5790000000000002</v>
      </c>
      <c r="ES50">
        <v>3.6419999999999999</v>
      </c>
      <c r="ET50">
        <v>3.1659999999999999</v>
      </c>
      <c r="EU50">
        <v>3.1749999999999998</v>
      </c>
      <c r="EV50">
        <v>-7.2999999999999995E-2</v>
      </c>
      <c r="EW50">
        <v>3.306</v>
      </c>
      <c r="EX50">
        <v>3.0680000000000001</v>
      </c>
      <c r="EY50">
        <v>0.60099999999999998</v>
      </c>
      <c r="EZ50">
        <v>2.391</v>
      </c>
      <c r="FA50">
        <v>4.2779999999999996</v>
      </c>
      <c r="FB50">
        <v>4.0369999999999999</v>
      </c>
      <c r="FC50">
        <v>4.9290000000000003</v>
      </c>
      <c r="FD50">
        <v>3.37</v>
      </c>
      <c r="FE50">
        <v>1.282</v>
      </c>
      <c r="FF50">
        <v>0.76200000000000001</v>
      </c>
      <c r="FG50">
        <v>-7.0000000000000007E-2</v>
      </c>
      <c r="FH50">
        <v>-0.93799999999999994</v>
      </c>
      <c r="FI50">
        <v>3.0489999999999999</v>
      </c>
      <c r="FJ50">
        <v>2.6989999999999998</v>
      </c>
      <c r="FK50">
        <v>-4.8710000000000004</v>
      </c>
      <c r="FL50">
        <v>3.4820000000000002</v>
      </c>
      <c r="FM50">
        <v>2.7530000000000001</v>
      </c>
      <c r="FN50">
        <v>3.07</v>
      </c>
      <c r="FO50">
        <v>4.0670000000000002</v>
      </c>
      <c r="FP50">
        <v>2.121</v>
      </c>
      <c r="FQ50">
        <v>0.86299999999999999</v>
      </c>
      <c r="FR50">
        <v>3.952</v>
      </c>
      <c r="FS50">
        <v>-0.5</v>
      </c>
      <c r="FT50">
        <v>4.0890000000000004</v>
      </c>
      <c r="FU50">
        <v>3.7429999999999999</v>
      </c>
      <c r="FV50">
        <v>3.4870000000000001</v>
      </c>
      <c r="FW50">
        <v>3.722</v>
      </c>
      <c r="FX50">
        <v>-6.4640000000000004</v>
      </c>
      <c r="FY50">
        <v>3.7879999999999998</v>
      </c>
      <c r="FZ50">
        <v>-2.8119999999999998</v>
      </c>
      <c r="GA50">
        <v>-4.4039999999999999</v>
      </c>
      <c r="GB50">
        <v>-1.4059999999999999</v>
      </c>
      <c r="GC50">
        <v>4.8330000000000002</v>
      </c>
      <c r="GD50">
        <v>-6.8000000000000005E-2</v>
      </c>
      <c r="GE50">
        <v>1.4590000000000001</v>
      </c>
      <c r="GF50">
        <v>3.1859999999999999</v>
      </c>
      <c r="GG50">
        <v>1.3959999999999999</v>
      </c>
      <c r="GH50">
        <v>2.9039999999999999</v>
      </c>
      <c r="GI50">
        <v>5.96</v>
      </c>
      <c r="GJ50">
        <v>5.016</v>
      </c>
      <c r="GK50">
        <v>2.83</v>
      </c>
      <c r="GL50">
        <v>-2.4710000000000001</v>
      </c>
      <c r="GM50">
        <v>1.042</v>
      </c>
      <c r="GN50">
        <v>5.4859999999999998</v>
      </c>
      <c r="GO50">
        <v>2.3490000000000002</v>
      </c>
      <c r="GP50">
        <v>2.6629999999999998</v>
      </c>
      <c r="GQ50">
        <v>0.98299999999999998</v>
      </c>
      <c r="GR50">
        <v>-3.1989999999999998</v>
      </c>
      <c r="GS50">
        <v>3.5110000000000001</v>
      </c>
      <c r="GT50">
        <v>3.5910000000000002</v>
      </c>
      <c r="GU50">
        <v>-6.915</v>
      </c>
      <c r="GV50">
        <v>5.5380000000000003</v>
      </c>
      <c r="GW50">
        <v>5.5659999999999998</v>
      </c>
      <c r="GX50">
        <v>3.9630000000000001</v>
      </c>
      <c r="GY50">
        <v>3.4239999999999999</v>
      </c>
      <c r="GZ50">
        <v>3.6480000000000001</v>
      </c>
      <c r="HA50">
        <v>1.2909999999999999</v>
      </c>
      <c r="HB50">
        <v>-4.3849999999999998</v>
      </c>
      <c r="HC50">
        <v>-5.9089999999999998</v>
      </c>
      <c r="HD50">
        <v>2.62</v>
      </c>
      <c r="HE50">
        <v>4.1749999999999998</v>
      </c>
      <c r="HF50">
        <v>-4.0970000000000004</v>
      </c>
      <c r="HG50">
        <v>3.625</v>
      </c>
      <c r="HH50">
        <v>-0.25600000000000001</v>
      </c>
      <c r="HI50">
        <v>0.76100000000000001</v>
      </c>
      <c r="HJ50">
        <v>1.6180000000000001</v>
      </c>
      <c r="HK50">
        <v>5.1449999999999996</v>
      </c>
      <c r="HL50">
        <v>5.4630000000000001</v>
      </c>
      <c r="HM50">
        <v>-2.544</v>
      </c>
      <c r="HN50">
        <v>2.5710000000000002</v>
      </c>
      <c r="HO50">
        <v>-2.863</v>
      </c>
      <c r="HP50">
        <v>3.4</v>
      </c>
      <c r="HQ50">
        <v>2.0059999999999998</v>
      </c>
      <c r="HR50">
        <v>-2.6150000000000002</v>
      </c>
      <c r="HS50">
        <v>-3.8740000000000001</v>
      </c>
      <c r="HT50">
        <v>0.84399999999999997</v>
      </c>
      <c r="HU50">
        <v>2.363</v>
      </c>
      <c r="HV50">
        <v>1.679</v>
      </c>
      <c r="HW50">
        <v>3.097</v>
      </c>
      <c r="HX50">
        <v>2.948</v>
      </c>
      <c r="HY50">
        <v>5.0279999999999996</v>
      </c>
      <c r="HZ50">
        <v>3.65</v>
      </c>
      <c r="IA50">
        <v>2.97</v>
      </c>
      <c r="IB50">
        <v>2.5030000000000001</v>
      </c>
      <c r="IC50">
        <v>1.6719999999999999</v>
      </c>
      <c r="ID50">
        <v>-0.95599999999999996</v>
      </c>
      <c r="IE50">
        <v>3.4990000000000001</v>
      </c>
      <c r="IF50">
        <v>5.5339999999999998</v>
      </c>
      <c r="IG50">
        <v>5.0449999999999999</v>
      </c>
      <c r="IH50">
        <v>6.7000000000000004E-2</v>
      </c>
      <c r="II50">
        <v>4.4870000000000001</v>
      </c>
      <c r="IJ50">
        <v>2.4460000000000002</v>
      </c>
      <c r="IK50">
        <v>2.7229999999999999</v>
      </c>
      <c r="IL50">
        <v>6.4429999999999996</v>
      </c>
      <c r="IM50">
        <v>2.8130000000000002</v>
      </c>
      <c r="IN50">
        <v>3.3639999999999999</v>
      </c>
      <c r="IO50">
        <v>3.254</v>
      </c>
      <c r="IP50">
        <v>3.367</v>
      </c>
      <c r="IQ50">
        <v>-4.6849999999999996</v>
      </c>
      <c r="IR50">
        <v>1.524</v>
      </c>
      <c r="IS50">
        <v>2.8119999999999998</v>
      </c>
      <c r="IT50">
        <v>3.4580000000000002</v>
      </c>
      <c r="IU50">
        <v>3.3639999999999999</v>
      </c>
      <c r="IV50">
        <v>2.2570000000000001</v>
      </c>
      <c r="IW50">
        <v>-0.96699999999999997</v>
      </c>
      <c r="IX50">
        <v>3.26</v>
      </c>
      <c r="IY50">
        <v>3.238</v>
      </c>
      <c r="IZ50">
        <v>2.4289999999999998</v>
      </c>
      <c r="JA50">
        <v>3.7839999999999998</v>
      </c>
      <c r="JB50">
        <v>2.419</v>
      </c>
      <c r="JC50">
        <v>3.0859999999999999</v>
      </c>
      <c r="JD50">
        <v>2.68</v>
      </c>
      <c r="JE50">
        <v>-0.50800000000000001</v>
      </c>
      <c r="JF50">
        <v>2.9089999999999998</v>
      </c>
      <c r="JG50">
        <v>5.5229999999999997</v>
      </c>
      <c r="JH50">
        <v>2.544</v>
      </c>
      <c r="JI50">
        <v>-5.8810000000000002</v>
      </c>
      <c r="JJ50">
        <v>2.7490000000000001</v>
      </c>
      <c r="JK50">
        <v>-3.4380000000000002</v>
      </c>
      <c r="JL50">
        <v>2.415</v>
      </c>
      <c r="JM50">
        <v>5.0419999999999998</v>
      </c>
      <c r="JN50">
        <v>2.528</v>
      </c>
      <c r="JO50">
        <v>2.8969999999999998</v>
      </c>
      <c r="JP50">
        <v>-2.1360000000000001</v>
      </c>
      <c r="JQ50">
        <v>3.2930000000000001</v>
      </c>
      <c r="JR50">
        <v>2.835</v>
      </c>
      <c r="JS50">
        <v>3.8580000000000001</v>
      </c>
      <c r="JT50">
        <v>2.4039999999999999</v>
      </c>
      <c r="JU50">
        <v>3.0459999999999998</v>
      </c>
      <c r="JV50">
        <v>2.5169999999999999</v>
      </c>
      <c r="JW50">
        <v>6.1420000000000003</v>
      </c>
      <c r="JX50">
        <v>2.2930000000000001</v>
      </c>
      <c r="JY50">
        <v>-2.3290000000000002</v>
      </c>
      <c r="JZ50">
        <v>-4.1390000000000002</v>
      </c>
      <c r="KA50">
        <v>1.141</v>
      </c>
      <c r="KB50">
        <v>2.7389999999999999</v>
      </c>
      <c r="KC50">
        <v>2.64</v>
      </c>
      <c r="KD50">
        <v>3.395</v>
      </c>
      <c r="KE50">
        <v>-1.804</v>
      </c>
      <c r="KF50">
        <v>-4.6740000000000004</v>
      </c>
      <c r="KG50">
        <v>5.0830000000000002</v>
      </c>
      <c r="KH50">
        <v>6.14</v>
      </c>
      <c r="KI50">
        <v>3.661</v>
      </c>
      <c r="KJ50">
        <v>2.1640000000000001</v>
      </c>
      <c r="KK50">
        <v>3.9820000000000002</v>
      </c>
      <c r="KL50">
        <v>-0.93</v>
      </c>
      <c r="KM50">
        <v>-2.827</v>
      </c>
      <c r="KN50">
        <v>3.2280000000000002</v>
      </c>
      <c r="KO50">
        <v>2.3530000000000002</v>
      </c>
      <c r="KP50">
        <v>-0.60399999999999998</v>
      </c>
      <c r="KQ50">
        <v>-5.22</v>
      </c>
      <c r="KR50">
        <v>-4.5170000000000003</v>
      </c>
    </row>
    <row r="51" spans="1:304" x14ac:dyDescent="0.25">
      <c r="A51">
        <v>2017</v>
      </c>
      <c r="B51">
        <v>12</v>
      </c>
      <c r="C51">
        <v>-8.7910000000000004</v>
      </c>
      <c r="D51">
        <v>1.109</v>
      </c>
      <c r="E51">
        <v>2.5150000000000001</v>
      </c>
      <c r="F51">
        <v>1.88</v>
      </c>
      <c r="G51">
        <v>1.663</v>
      </c>
      <c r="H51">
        <v>0.52900000000000003</v>
      </c>
      <c r="I51">
        <v>-8.8960000000000008</v>
      </c>
      <c r="J51">
        <v>-7.593</v>
      </c>
      <c r="K51">
        <v>-1.81</v>
      </c>
      <c r="L51">
        <v>1.1279999999999999</v>
      </c>
      <c r="M51">
        <v>-1.036</v>
      </c>
      <c r="N51">
        <v>0.35</v>
      </c>
      <c r="O51">
        <v>-5.258</v>
      </c>
      <c r="P51">
        <v>3.2759999999999998</v>
      </c>
      <c r="Q51">
        <v>-9.3640000000000008</v>
      </c>
      <c r="R51">
        <v>1.8120000000000001</v>
      </c>
      <c r="S51">
        <v>-3.1459999999999999</v>
      </c>
      <c r="T51">
        <v>2.8540000000000001</v>
      </c>
      <c r="U51">
        <v>-1.92</v>
      </c>
      <c r="V51">
        <v>1.45</v>
      </c>
      <c r="W51">
        <v>0.86099999999999999</v>
      </c>
      <c r="X51">
        <v>2.476</v>
      </c>
      <c r="Y51">
        <v>3.1560000000000001</v>
      </c>
      <c r="Z51">
        <v>-5.6740000000000004</v>
      </c>
      <c r="AA51">
        <v>4.0119999999999996</v>
      </c>
      <c r="AB51">
        <v>3.246</v>
      </c>
      <c r="AC51">
        <v>-3.2639999999999998</v>
      </c>
      <c r="AD51">
        <v>0.46200000000000002</v>
      </c>
      <c r="AE51">
        <v>1.157</v>
      </c>
      <c r="AF51">
        <v>0.25800000000000001</v>
      </c>
      <c r="AG51">
        <v>-3.528</v>
      </c>
      <c r="AH51">
        <v>-6.7649999999999997</v>
      </c>
      <c r="AI51">
        <v>-3.9430000000000001</v>
      </c>
      <c r="AJ51">
        <v>0.878</v>
      </c>
      <c r="AK51">
        <v>1.8109999999999999</v>
      </c>
      <c r="AL51">
        <v>0.17</v>
      </c>
      <c r="AM51">
        <v>0.54</v>
      </c>
      <c r="AN51">
        <v>3.3079999999999998</v>
      </c>
      <c r="AO51">
        <v>1.6080000000000001</v>
      </c>
      <c r="AP51">
        <v>-0.86899999999999999</v>
      </c>
      <c r="AQ51">
        <v>3.5030000000000001</v>
      </c>
      <c r="AR51">
        <v>1.036</v>
      </c>
      <c r="AS51">
        <v>4.6900000000000004</v>
      </c>
      <c r="AT51">
        <v>-2.12</v>
      </c>
      <c r="AU51">
        <v>-1.1970000000000001</v>
      </c>
      <c r="AV51">
        <v>-0.42799999999999999</v>
      </c>
      <c r="AW51">
        <v>0.91</v>
      </c>
      <c r="AX51">
        <v>0.504</v>
      </c>
      <c r="AY51">
        <v>-0.83699999999999997</v>
      </c>
      <c r="AZ51">
        <v>-6.0129999999999999</v>
      </c>
      <c r="BA51">
        <v>1.2130000000000001</v>
      </c>
      <c r="BB51">
        <v>-5.5990000000000002</v>
      </c>
      <c r="BC51">
        <v>-2.5550000000000002</v>
      </c>
      <c r="BD51">
        <v>1.446</v>
      </c>
      <c r="BE51">
        <v>0.50800000000000001</v>
      </c>
      <c r="BF51">
        <v>1.75</v>
      </c>
      <c r="BG51">
        <v>-7.2969999999999997</v>
      </c>
      <c r="BH51">
        <v>-10.848000000000001</v>
      </c>
      <c r="BI51">
        <v>-0.33200000000000002</v>
      </c>
      <c r="BJ51">
        <v>3.3079999999999998</v>
      </c>
      <c r="BK51">
        <v>1.7430000000000001</v>
      </c>
      <c r="BL51">
        <v>0.68700000000000006</v>
      </c>
      <c r="BM51">
        <v>-2.629</v>
      </c>
      <c r="BN51">
        <v>0.93</v>
      </c>
      <c r="BO51">
        <v>-0.13800000000000001</v>
      </c>
      <c r="BP51">
        <v>3.254</v>
      </c>
      <c r="BQ51">
        <v>-5.7750000000000004</v>
      </c>
      <c r="BR51">
        <v>0.97</v>
      </c>
      <c r="BS51">
        <v>1.131</v>
      </c>
      <c r="BT51">
        <v>-7.0629999999999997</v>
      </c>
      <c r="BU51">
        <v>-7.5010000000000003</v>
      </c>
      <c r="BV51">
        <v>-1.343</v>
      </c>
      <c r="BW51">
        <v>3.6669999999999998</v>
      </c>
      <c r="BX51">
        <v>-6.641</v>
      </c>
      <c r="BY51">
        <v>3.0939999999999999</v>
      </c>
      <c r="BZ51">
        <v>1.454</v>
      </c>
      <c r="CA51">
        <v>2.294</v>
      </c>
      <c r="CB51">
        <v>-1.623</v>
      </c>
      <c r="CC51">
        <v>1.3</v>
      </c>
      <c r="CD51">
        <v>0.99399999999999999</v>
      </c>
      <c r="CE51">
        <v>-1.639</v>
      </c>
      <c r="CF51">
        <v>1.4630000000000001</v>
      </c>
      <c r="CG51">
        <v>1.982</v>
      </c>
      <c r="CH51">
        <v>-1.1839999999999999</v>
      </c>
      <c r="CI51">
        <v>-1.9059999999999999</v>
      </c>
      <c r="CJ51">
        <v>2.6960000000000002</v>
      </c>
      <c r="CK51">
        <v>2.4540000000000002</v>
      </c>
      <c r="CL51">
        <v>3.8359999999999999</v>
      </c>
      <c r="CM51">
        <v>1.7330000000000001</v>
      </c>
      <c r="CN51">
        <v>2.8330000000000002</v>
      </c>
      <c r="CO51">
        <v>2.8380000000000001</v>
      </c>
      <c r="CP51">
        <v>-10.444000000000001</v>
      </c>
      <c r="CQ51">
        <v>-6.3970000000000002</v>
      </c>
      <c r="CR51">
        <v>1.2609999999999999</v>
      </c>
      <c r="CS51">
        <v>1.3640000000000001</v>
      </c>
      <c r="CT51">
        <v>-8.3719999999999999</v>
      </c>
      <c r="CU51">
        <v>2.7389999999999999</v>
      </c>
      <c r="CV51">
        <v>-13.363</v>
      </c>
      <c r="CW51">
        <v>2.2250000000000001</v>
      </c>
      <c r="CX51">
        <v>3.0289999999999999</v>
      </c>
      <c r="CY51">
        <v>-2.5999999999999999E-2</v>
      </c>
      <c r="CZ51">
        <v>3.5550000000000002</v>
      </c>
      <c r="DA51">
        <v>0.40799999999999997</v>
      </c>
      <c r="DB51">
        <v>0.57599999999999996</v>
      </c>
      <c r="DC51">
        <v>-0.9</v>
      </c>
      <c r="DD51">
        <v>2.0289999999999999</v>
      </c>
      <c r="DE51">
        <v>-10.763</v>
      </c>
      <c r="DF51">
        <v>1.266</v>
      </c>
      <c r="DG51">
        <v>2.855</v>
      </c>
      <c r="DH51">
        <v>0.19500000000000001</v>
      </c>
      <c r="DI51">
        <v>-1.589</v>
      </c>
      <c r="DJ51">
        <v>-4.0119999999999996</v>
      </c>
      <c r="DK51">
        <v>3.2229999999999999</v>
      </c>
      <c r="DL51">
        <v>0.56699999999999995</v>
      </c>
      <c r="DM51">
        <v>0.90900000000000003</v>
      </c>
      <c r="DN51">
        <v>3.1949999999999998</v>
      </c>
      <c r="DO51">
        <v>0.55900000000000005</v>
      </c>
      <c r="DP51">
        <v>2.7890000000000001</v>
      </c>
      <c r="DQ51">
        <v>-10.641</v>
      </c>
      <c r="DR51">
        <v>3.7589999999999999</v>
      </c>
      <c r="DS51">
        <v>0.16500000000000001</v>
      </c>
      <c r="DT51">
        <v>2.9140000000000001</v>
      </c>
      <c r="DU51">
        <v>3.988</v>
      </c>
      <c r="DV51">
        <v>1.0349999999999999</v>
      </c>
      <c r="DW51">
        <v>0.754</v>
      </c>
      <c r="DX51">
        <v>-2.6989999999999998</v>
      </c>
      <c r="DY51">
        <v>2.2509999999999999</v>
      </c>
      <c r="DZ51">
        <v>1.6739999999999999</v>
      </c>
      <c r="EA51">
        <v>1.109</v>
      </c>
      <c r="EB51">
        <v>1.9059999999999999</v>
      </c>
      <c r="EC51">
        <v>1.964</v>
      </c>
      <c r="ED51">
        <v>-0.55200000000000005</v>
      </c>
      <c r="EE51">
        <v>1.677</v>
      </c>
      <c r="EF51">
        <v>1.8480000000000001</v>
      </c>
      <c r="EG51">
        <v>-4.8760000000000003</v>
      </c>
      <c r="EH51">
        <v>4.0289999999999999</v>
      </c>
      <c r="EI51">
        <v>-1.4039999999999999</v>
      </c>
      <c r="EJ51">
        <v>-7.0609999999999999</v>
      </c>
      <c r="EK51">
        <v>3.7210000000000001</v>
      </c>
      <c r="EL51">
        <v>-7.3940000000000001</v>
      </c>
      <c r="EM51">
        <v>3.0739999999999998</v>
      </c>
      <c r="EN51">
        <v>1.361</v>
      </c>
      <c r="EO51">
        <v>4.0880000000000001</v>
      </c>
      <c r="EP51">
        <v>-5.0019999999999998</v>
      </c>
      <c r="EQ51">
        <v>-7.4420000000000002</v>
      </c>
      <c r="ER51">
        <v>2.1720000000000002</v>
      </c>
      <c r="ES51">
        <v>2.0779999999999998</v>
      </c>
      <c r="ET51">
        <v>1.7749999999999999</v>
      </c>
      <c r="EU51">
        <v>1.704</v>
      </c>
      <c r="EV51">
        <v>-3.9209999999999998</v>
      </c>
      <c r="EW51">
        <v>1.845</v>
      </c>
      <c r="EX51">
        <v>1.639</v>
      </c>
      <c r="EY51">
        <v>-1.738</v>
      </c>
      <c r="EZ51">
        <v>1.4999999999999999E-2</v>
      </c>
      <c r="FA51">
        <v>2.9950000000000001</v>
      </c>
      <c r="FB51">
        <v>2.3290000000000002</v>
      </c>
      <c r="FC51">
        <v>3.069</v>
      </c>
      <c r="FD51">
        <v>1.119</v>
      </c>
      <c r="FE51">
        <v>-0.307</v>
      </c>
      <c r="FF51">
        <v>-1.6459999999999999</v>
      </c>
      <c r="FG51">
        <v>-2.3130000000000002</v>
      </c>
      <c r="FH51">
        <v>-3.4790000000000001</v>
      </c>
      <c r="FI51">
        <v>1.306</v>
      </c>
      <c r="FJ51">
        <v>0.35199999999999998</v>
      </c>
      <c r="FK51">
        <v>-6.8529999999999998</v>
      </c>
      <c r="FL51">
        <v>1.9279999999999999</v>
      </c>
      <c r="FM51">
        <v>0.52600000000000002</v>
      </c>
      <c r="FN51">
        <v>1.1379999999999999</v>
      </c>
      <c r="FO51">
        <v>2.0030000000000001</v>
      </c>
      <c r="FP51">
        <v>0.71499999999999997</v>
      </c>
      <c r="FQ51">
        <v>-1.679</v>
      </c>
      <c r="FR51">
        <v>2.4239999999999999</v>
      </c>
      <c r="FS51">
        <v>-4.49</v>
      </c>
      <c r="FT51">
        <v>2.5339999999999998</v>
      </c>
      <c r="FU51">
        <v>2.1619999999999999</v>
      </c>
      <c r="FV51">
        <v>1.8640000000000001</v>
      </c>
      <c r="FW51">
        <v>1.7470000000000001</v>
      </c>
      <c r="FX51">
        <v>-11.643000000000001</v>
      </c>
      <c r="FY51">
        <v>2.6579999999999999</v>
      </c>
      <c r="FZ51">
        <v>-6.5609999999999999</v>
      </c>
      <c r="GA51">
        <v>-7.8920000000000003</v>
      </c>
      <c r="GB51">
        <v>-4.17</v>
      </c>
      <c r="GC51">
        <v>3.258</v>
      </c>
      <c r="GD51">
        <v>-3.0790000000000002</v>
      </c>
      <c r="GE51">
        <v>-0.65400000000000003</v>
      </c>
      <c r="GF51">
        <v>0.88100000000000001</v>
      </c>
      <c r="GG51">
        <v>-0.89200000000000002</v>
      </c>
      <c r="GH51">
        <v>0.55400000000000005</v>
      </c>
      <c r="GI51">
        <v>4.0620000000000003</v>
      </c>
      <c r="GJ51">
        <v>3.1080000000000001</v>
      </c>
      <c r="GK51">
        <v>1.4930000000000001</v>
      </c>
      <c r="GL51">
        <v>-5.1109999999999998</v>
      </c>
      <c r="GM51">
        <v>-0.81</v>
      </c>
      <c r="GN51">
        <v>3.5640000000000001</v>
      </c>
      <c r="GO51">
        <v>0.11799999999999999</v>
      </c>
      <c r="GP51">
        <v>1.36</v>
      </c>
      <c r="GQ51">
        <v>-1.212</v>
      </c>
      <c r="GR51">
        <v>-5.577</v>
      </c>
      <c r="GS51">
        <v>1.1579999999999999</v>
      </c>
      <c r="GT51">
        <v>1.246</v>
      </c>
      <c r="GU51">
        <v>-8.391</v>
      </c>
      <c r="GV51">
        <v>3.6120000000000001</v>
      </c>
      <c r="GW51">
        <v>3.6819999999999999</v>
      </c>
      <c r="GX51">
        <v>2.613</v>
      </c>
      <c r="GY51">
        <v>1.139</v>
      </c>
      <c r="GZ51">
        <v>1.2829999999999999</v>
      </c>
      <c r="HA51">
        <v>-0.58499999999999996</v>
      </c>
      <c r="HB51">
        <v>-5.3129999999999997</v>
      </c>
      <c r="HC51">
        <v>-7.5880000000000001</v>
      </c>
      <c r="HD51">
        <v>0.39200000000000002</v>
      </c>
      <c r="HE51">
        <v>2.0779999999999998</v>
      </c>
      <c r="HF51">
        <v>-5.569</v>
      </c>
      <c r="HG51">
        <v>1.2669999999999999</v>
      </c>
      <c r="HH51">
        <v>-2.746</v>
      </c>
      <c r="HI51">
        <v>-1.907</v>
      </c>
      <c r="HJ51">
        <v>-0.39700000000000002</v>
      </c>
      <c r="HK51">
        <v>3.387</v>
      </c>
      <c r="HL51">
        <v>3.6110000000000002</v>
      </c>
      <c r="HM51">
        <v>-7.49</v>
      </c>
      <c r="HN51">
        <v>1.5069999999999999</v>
      </c>
      <c r="HO51">
        <v>-6.3780000000000001</v>
      </c>
      <c r="HP51">
        <v>1.984</v>
      </c>
      <c r="HQ51">
        <v>0.52800000000000002</v>
      </c>
      <c r="HR51">
        <v>-5.8440000000000003</v>
      </c>
      <c r="HS51">
        <v>-8.8829999999999991</v>
      </c>
      <c r="HT51">
        <v>-1.5669999999999999</v>
      </c>
      <c r="HU51">
        <v>1.024</v>
      </c>
      <c r="HV51">
        <v>-0.97599999999999998</v>
      </c>
      <c r="HW51">
        <v>1.4530000000000001</v>
      </c>
      <c r="HX51">
        <v>0.68799999999999994</v>
      </c>
      <c r="HY51">
        <v>3.3940000000000001</v>
      </c>
      <c r="HZ51">
        <v>1.825</v>
      </c>
      <c r="IA51">
        <v>1.71</v>
      </c>
      <c r="IB51">
        <v>1.123</v>
      </c>
      <c r="IC51">
        <v>-0.51400000000000001</v>
      </c>
      <c r="ID51">
        <v>-3.5590000000000002</v>
      </c>
      <c r="IE51">
        <v>1.99</v>
      </c>
      <c r="IF51">
        <v>3.7879999999999998</v>
      </c>
      <c r="IG51">
        <v>3.266</v>
      </c>
      <c r="IH51">
        <v>-3.4380000000000002</v>
      </c>
      <c r="II51">
        <v>2.8069999999999999</v>
      </c>
      <c r="IJ51">
        <v>1.329</v>
      </c>
      <c r="IK51">
        <v>1.2250000000000001</v>
      </c>
      <c r="IL51">
        <v>4.3129999999999997</v>
      </c>
      <c r="IM51">
        <v>1.7210000000000001</v>
      </c>
      <c r="IN51">
        <v>1.2629999999999999</v>
      </c>
      <c r="IO51">
        <v>1.109</v>
      </c>
      <c r="IP51">
        <v>1.054</v>
      </c>
      <c r="IQ51">
        <v>-6.5670000000000002</v>
      </c>
      <c r="IR51">
        <v>-0.68200000000000005</v>
      </c>
      <c r="IS51">
        <v>1.569</v>
      </c>
      <c r="IT51">
        <v>2.004</v>
      </c>
      <c r="IU51">
        <v>2.2599999999999998</v>
      </c>
      <c r="IV51">
        <v>1.0169999999999999</v>
      </c>
      <c r="IW51">
        <v>-3.786</v>
      </c>
      <c r="IX51">
        <v>0.92200000000000004</v>
      </c>
      <c r="IY51">
        <v>0.9</v>
      </c>
      <c r="IZ51">
        <v>5.0999999999999997E-2</v>
      </c>
      <c r="JA51">
        <v>2.2789999999999999</v>
      </c>
      <c r="JB51">
        <v>1.2310000000000001</v>
      </c>
      <c r="JC51">
        <v>1.556</v>
      </c>
      <c r="JD51">
        <v>0.38600000000000001</v>
      </c>
      <c r="JE51">
        <v>-3.5590000000000002</v>
      </c>
      <c r="JF51">
        <v>1.6659999999999999</v>
      </c>
      <c r="JG51">
        <v>3.6219999999999999</v>
      </c>
      <c r="JH51">
        <v>1.0589999999999999</v>
      </c>
      <c r="JI51">
        <v>-7.5330000000000004</v>
      </c>
      <c r="JJ51">
        <v>1.3859999999999999</v>
      </c>
      <c r="JK51">
        <v>-6.2720000000000002</v>
      </c>
      <c r="JL51">
        <v>0.57499999999999996</v>
      </c>
      <c r="JM51">
        <v>3.0960000000000001</v>
      </c>
      <c r="JN51">
        <v>1.538</v>
      </c>
      <c r="JO51">
        <v>1.6839999999999999</v>
      </c>
      <c r="JP51">
        <v>-4.7640000000000002</v>
      </c>
      <c r="JQ51">
        <v>1.1040000000000001</v>
      </c>
      <c r="JR51">
        <v>1.583</v>
      </c>
      <c r="JS51">
        <v>2.3170000000000002</v>
      </c>
      <c r="JT51">
        <v>0.216</v>
      </c>
      <c r="JU51">
        <v>1.6160000000000001</v>
      </c>
      <c r="JV51">
        <v>1.133</v>
      </c>
      <c r="JW51">
        <v>4.0880000000000001</v>
      </c>
      <c r="JX51">
        <v>0.92</v>
      </c>
      <c r="JY51">
        <v>-5.8810000000000002</v>
      </c>
      <c r="JZ51">
        <v>-5.4939999999999998</v>
      </c>
      <c r="KA51">
        <v>-0.61499999999999999</v>
      </c>
      <c r="KB51">
        <v>1.2290000000000001</v>
      </c>
      <c r="KC51">
        <v>1.3009999999999999</v>
      </c>
      <c r="KD51">
        <v>1.91</v>
      </c>
      <c r="KE51">
        <v>-5.9390000000000001</v>
      </c>
      <c r="KF51">
        <v>-8.7680000000000007</v>
      </c>
      <c r="KG51">
        <v>3.2040000000000002</v>
      </c>
      <c r="KH51">
        <v>4.2809999999999997</v>
      </c>
      <c r="KI51">
        <v>2.1760000000000002</v>
      </c>
      <c r="KJ51">
        <v>0.65300000000000002</v>
      </c>
      <c r="KK51">
        <v>2.411</v>
      </c>
      <c r="KL51">
        <v>-3.4</v>
      </c>
      <c r="KM51">
        <v>-4.8079999999999998</v>
      </c>
      <c r="KN51">
        <v>0.999</v>
      </c>
      <c r="KO51">
        <v>-6.6000000000000003E-2</v>
      </c>
      <c r="KP51">
        <v>-4.6589999999999998</v>
      </c>
      <c r="KQ51">
        <v>-10.593</v>
      </c>
      <c r="KR51">
        <v>-10.117000000000001</v>
      </c>
    </row>
    <row r="52" spans="1:304" x14ac:dyDescent="0.25">
      <c r="A52">
        <v>2018</v>
      </c>
      <c r="B52">
        <v>1</v>
      </c>
      <c r="C52">
        <v>-12.717000000000001</v>
      </c>
      <c r="D52">
        <v>-0.36599999999999999</v>
      </c>
      <c r="E52">
        <v>1.1539999999999999</v>
      </c>
      <c r="F52">
        <v>0.52</v>
      </c>
      <c r="G52">
        <v>0.317</v>
      </c>
      <c r="H52">
        <v>-1.2529999999999999</v>
      </c>
      <c r="I52">
        <v>-12.814</v>
      </c>
      <c r="J52">
        <v>-11.388999999999999</v>
      </c>
      <c r="K52">
        <v>-1.806</v>
      </c>
      <c r="L52">
        <v>-0.67800000000000005</v>
      </c>
      <c r="M52">
        <v>-2.9780000000000002</v>
      </c>
      <c r="N52">
        <v>-0.71399999999999997</v>
      </c>
      <c r="O52">
        <v>-7.9020000000000001</v>
      </c>
      <c r="P52">
        <v>2.09</v>
      </c>
      <c r="Q52">
        <v>-11.387</v>
      </c>
      <c r="R52">
        <v>0.443</v>
      </c>
      <c r="S52">
        <v>-5.484</v>
      </c>
      <c r="T52">
        <v>1.615</v>
      </c>
      <c r="U52">
        <v>-3.6230000000000002</v>
      </c>
      <c r="V52">
        <v>-3.0000000000000001E-3</v>
      </c>
      <c r="W52">
        <v>-0.60499999999999998</v>
      </c>
      <c r="X52">
        <v>1.5129999999999999</v>
      </c>
      <c r="Y52">
        <v>2.0379999999999998</v>
      </c>
      <c r="Z52">
        <v>-8.4290000000000003</v>
      </c>
      <c r="AA52">
        <v>2.6819999999999999</v>
      </c>
      <c r="AB52">
        <v>1.946</v>
      </c>
      <c r="AC52">
        <v>-2.9710000000000001</v>
      </c>
      <c r="AD52">
        <v>-0.61899999999999999</v>
      </c>
      <c r="AE52">
        <v>-0.26500000000000001</v>
      </c>
      <c r="AF52">
        <v>-1.2849999999999999</v>
      </c>
      <c r="AG52">
        <v>-6.125</v>
      </c>
      <c r="AH52">
        <v>-9.0489999999999995</v>
      </c>
      <c r="AI52">
        <v>-6.1379999999999999</v>
      </c>
      <c r="AJ52">
        <v>-0.77100000000000002</v>
      </c>
      <c r="AK52">
        <v>0.44800000000000001</v>
      </c>
      <c r="AL52">
        <v>-1.4370000000000001</v>
      </c>
      <c r="AM52">
        <v>-1.0509999999999999</v>
      </c>
      <c r="AN52">
        <v>2.1509999999999998</v>
      </c>
      <c r="AO52">
        <v>0.34899999999999998</v>
      </c>
      <c r="AP52">
        <v>-3.028</v>
      </c>
      <c r="AQ52">
        <v>2.1160000000000001</v>
      </c>
      <c r="AR52">
        <v>-0.443</v>
      </c>
      <c r="AS52">
        <v>3.4380000000000002</v>
      </c>
      <c r="AT52">
        <v>-3.6539999999999999</v>
      </c>
      <c r="AU52">
        <v>-2.38</v>
      </c>
      <c r="AV52">
        <v>-1.988</v>
      </c>
      <c r="AW52">
        <v>-0.35399999999999998</v>
      </c>
      <c r="AX52">
        <v>-0.97699999999999998</v>
      </c>
      <c r="AY52">
        <v>-1.5289999999999999</v>
      </c>
      <c r="AZ52">
        <v>-8.7360000000000007</v>
      </c>
      <c r="BA52">
        <v>8.1000000000000003E-2</v>
      </c>
      <c r="BB52">
        <v>-8.5690000000000008</v>
      </c>
      <c r="BC52">
        <v>-4.21</v>
      </c>
      <c r="BD52">
        <v>0.124</v>
      </c>
      <c r="BE52">
        <v>-1.042</v>
      </c>
      <c r="BF52">
        <v>0.435</v>
      </c>
      <c r="BG52">
        <v>-9.9109999999999996</v>
      </c>
      <c r="BH52">
        <v>-13.566000000000001</v>
      </c>
      <c r="BI52">
        <v>-2.2469999999999999</v>
      </c>
      <c r="BJ52">
        <v>1.7410000000000001</v>
      </c>
      <c r="BK52">
        <v>0.23699999999999999</v>
      </c>
      <c r="BL52">
        <v>-0.85799999999999998</v>
      </c>
      <c r="BM52">
        <v>-3.496</v>
      </c>
      <c r="BN52">
        <v>-0.83699999999999997</v>
      </c>
      <c r="BO52">
        <v>-1.9019999999999999</v>
      </c>
      <c r="BP52">
        <v>2.0470000000000002</v>
      </c>
      <c r="BQ52">
        <v>-8.1509999999999998</v>
      </c>
      <c r="BR52">
        <v>-0.28699999999999998</v>
      </c>
      <c r="BS52">
        <v>-0.44900000000000001</v>
      </c>
      <c r="BT52">
        <v>-9.4450000000000003</v>
      </c>
      <c r="BU52">
        <v>-9.6809999999999992</v>
      </c>
      <c r="BV52">
        <v>-3.2029999999999998</v>
      </c>
      <c r="BW52">
        <v>2.3319999999999999</v>
      </c>
      <c r="BX52">
        <v>-9.9830000000000005</v>
      </c>
      <c r="BY52">
        <v>0.98199999999999998</v>
      </c>
      <c r="BZ52">
        <v>7.4999999999999997E-2</v>
      </c>
      <c r="CA52">
        <v>0.71199999999999997</v>
      </c>
      <c r="CB52">
        <v>-3.4180000000000001</v>
      </c>
      <c r="CC52">
        <v>-0.2</v>
      </c>
      <c r="CD52">
        <v>-0.498</v>
      </c>
      <c r="CE52">
        <v>-4.0209999999999999</v>
      </c>
      <c r="CF52">
        <v>-0.14099999999999999</v>
      </c>
      <c r="CG52">
        <v>0.77600000000000002</v>
      </c>
      <c r="CH52">
        <v>-2.669</v>
      </c>
      <c r="CI52">
        <v>-3.7869999999999999</v>
      </c>
      <c r="CJ52">
        <v>1.2549999999999999</v>
      </c>
      <c r="CK52">
        <v>1.47</v>
      </c>
      <c r="CL52">
        <v>2.444</v>
      </c>
      <c r="CM52">
        <v>0.24399999999999999</v>
      </c>
      <c r="CN52">
        <v>1.7490000000000001</v>
      </c>
      <c r="CO52">
        <v>1.7709999999999999</v>
      </c>
      <c r="CP52">
        <v>-14.266999999999999</v>
      </c>
      <c r="CQ52">
        <v>-8.6240000000000006</v>
      </c>
      <c r="CR52">
        <v>-0.19600000000000001</v>
      </c>
      <c r="CS52">
        <v>-0.121</v>
      </c>
      <c r="CT52">
        <v>-10.542</v>
      </c>
      <c r="CU52">
        <v>1.3819999999999999</v>
      </c>
      <c r="CV52">
        <v>-14.743</v>
      </c>
      <c r="CW52">
        <v>0.67</v>
      </c>
      <c r="CX52">
        <v>1.75</v>
      </c>
      <c r="CY52">
        <v>-1.621</v>
      </c>
      <c r="CZ52">
        <v>1.9419999999999999</v>
      </c>
      <c r="DA52">
        <v>-0.72199999999999998</v>
      </c>
      <c r="DB52">
        <v>-0.76300000000000001</v>
      </c>
      <c r="DC52">
        <v>-1.5269999999999999</v>
      </c>
      <c r="DD52">
        <v>0.752</v>
      </c>
      <c r="DE52">
        <v>-14.722</v>
      </c>
      <c r="DF52">
        <v>-0.63800000000000001</v>
      </c>
      <c r="DG52">
        <v>1.8520000000000001</v>
      </c>
      <c r="DH52">
        <v>-1.2989999999999999</v>
      </c>
      <c r="DI52">
        <v>-3.2290000000000001</v>
      </c>
      <c r="DJ52">
        <v>-6.1260000000000003</v>
      </c>
      <c r="DK52">
        <v>2.1890000000000001</v>
      </c>
      <c r="DL52">
        <v>-0.85399999999999998</v>
      </c>
      <c r="DM52">
        <v>-0.85</v>
      </c>
      <c r="DN52">
        <v>1.6719999999999999</v>
      </c>
      <c r="DO52">
        <v>-1.2490000000000001</v>
      </c>
      <c r="DP52">
        <v>1.369</v>
      </c>
      <c r="DQ52">
        <v>-14.66</v>
      </c>
      <c r="DR52">
        <v>2.4590000000000001</v>
      </c>
      <c r="DS52">
        <v>-1.627</v>
      </c>
      <c r="DT52">
        <v>1.8320000000000001</v>
      </c>
      <c r="DU52">
        <v>2.5859999999999999</v>
      </c>
      <c r="DV52">
        <v>-0.78500000000000003</v>
      </c>
      <c r="DW52">
        <v>-1.0960000000000001</v>
      </c>
      <c r="DX52">
        <v>-4.4610000000000003</v>
      </c>
      <c r="DY52">
        <v>0.876</v>
      </c>
      <c r="DZ52">
        <v>0.23699999999999999</v>
      </c>
      <c r="EA52">
        <v>-0.314</v>
      </c>
      <c r="EB52">
        <v>0.45</v>
      </c>
      <c r="EC52">
        <v>0.70099999999999996</v>
      </c>
      <c r="ED52">
        <v>-2.3650000000000002</v>
      </c>
      <c r="EE52">
        <v>1.2E-2</v>
      </c>
      <c r="EF52">
        <v>0.58799999999999997</v>
      </c>
      <c r="EG52">
        <v>-7.2930000000000001</v>
      </c>
      <c r="EH52">
        <v>2.6920000000000002</v>
      </c>
      <c r="EI52">
        <v>-3.323</v>
      </c>
      <c r="EJ52">
        <v>-9.6470000000000002</v>
      </c>
      <c r="EK52">
        <v>2.448</v>
      </c>
      <c r="EL52">
        <v>-9.94</v>
      </c>
      <c r="EM52">
        <v>1.327</v>
      </c>
      <c r="EN52">
        <v>-0.437</v>
      </c>
      <c r="EO52">
        <v>2.7719999999999998</v>
      </c>
      <c r="EP52">
        <v>-6.133</v>
      </c>
      <c r="EQ52">
        <v>-10.887</v>
      </c>
      <c r="ER52">
        <v>0.56999999999999995</v>
      </c>
      <c r="ES52">
        <v>1.0580000000000001</v>
      </c>
      <c r="ET52">
        <v>0.53400000000000003</v>
      </c>
      <c r="EU52">
        <v>-8.5000000000000006E-2</v>
      </c>
      <c r="EV52">
        <v>-5.4450000000000003</v>
      </c>
      <c r="EW52">
        <v>-8.5000000000000006E-2</v>
      </c>
      <c r="EX52">
        <v>0.36899999999999999</v>
      </c>
      <c r="EY52">
        <v>-2.5249999999999999</v>
      </c>
      <c r="EZ52">
        <v>-1.5309999999999999</v>
      </c>
      <c r="FA52">
        <v>1.4990000000000001</v>
      </c>
      <c r="FB52">
        <v>1.1559999999999999</v>
      </c>
      <c r="FC52">
        <v>1.575</v>
      </c>
      <c r="FD52">
        <v>-0.31900000000000001</v>
      </c>
      <c r="FE52">
        <v>-2.2050000000000001</v>
      </c>
      <c r="FF52">
        <v>-3.5059999999999998</v>
      </c>
      <c r="FG52">
        <v>-4.8040000000000003</v>
      </c>
      <c r="FH52">
        <v>-5.6710000000000003</v>
      </c>
      <c r="FI52">
        <v>-5.7000000000000002E-2</v>
      </c>
      <c r="FJ52">
        <v>-1.111</v>
      </c>
      <c r="FK52">
        <v>-10.042999999999999</v>
      </c>
      <c r="FL52">
        <v>0.56599999999999995</v>
      </c>
      <c r="FM52">
        <v>-0.92200000000000004</v>
      </c>
      <c r="FN52">
        <v>-0.36</v>
      </c>
      <c r="FO52">
        <v>0.33200000000000002</v>
      </c>
      <c r="FP52">
        <v>-0.92200000000000004</v>
      </c>
      <c r="FQ52">
        <v>-3.73</v>
      </c>
      <c r="FR52">
        <v>1.31</v>
      </c>
      <c r="FS52">
        <v>-5.8390000000000004</v>
      </c>
      <c r="FT52">
        <v>0.998</v>
      </c>
      <c r="FU52">
        <v>1.139</v>
      </c>
      <c r="FV52">
        <v>0.67100000000000004</v>
      </c>
      <c r="FW52">
        <v>0.27900000000000003</v>
      </c>
      <c r="FX52">
        <v>-13.286</v>
      </c>
      <c r="FY52">
        <v>1.2529999999999999</v>
      </c>
      <c r="FZ52">
        <v>-9.4559999999999995</v>
      </c>
      <c r="GA52">
        <v>-12.065</v>
      </c>
      <c r="GB52">
        <v>-6.6289999999999996</v>
      </c>
      <c r="GC52">
        <v>1.76</v>
      </c>
      <c r="GD52">
        <v>-4.8689999999999998</v>
      </c>
      <c r="GE52">
        <v>-2.5379999999999998</v>
      </c>
      <c r="GF52">
        <v>-0.51700000000000002</v>
      </c>
      <c r="GG52">
        <v>-2.774</v>
      </c>
      <c r="GH52">
        <v>-0.97699999999999998</v>
      </c>
      <c r="GI52">
        <v>2.726</v>
      </c>
      <c r="GJ52">
        <v>1.9059999999999999</v>
      </c>
      <c r="GK52">
        <v>3.4000000000000002E-2</v>
      </c>
      <c r="GL52">
        <v>-8.1419999999999995</v>
      </c>
      <c r="GM52">
        <v>-2.9180000000000001</v>
      </c>
      <c r="GN52">
        <v>2.2999999999999998</v>
      </c>
      <c r="GO52">
        <v>-1.7829999999999999</v>
      </c>
      <c r="GP52">
        <v>-0.26700000000000002</v>
      </c>
      <c r="GQ52">
        <v>-3.1869999999999998</v>
      </c>
      <c r="GR52">
        <v>-7.7160000000000002</v>
      </c>
      <c r="GS52">
        <v>-0.29099999999999998</v>
      </c>
      <c r="GT52">
        <v>-0.187</v>
      </c>
      <c r="GU52">
        <v>-12.186999999999999</v>
      </c>
      <c r="GV52">
        <v>1.7230000000000001</v>
      </c>
      <c r="GW52">
        <v>2.411</v>
      </c>
      <c r="GX52">
        <v>1.0549999999999999</v>
      </c>
      <c r="GY52">
        <v>-0.311</v>
      </c>
      <c r="GZ52">
        <v>-0.153</v>
      </c>
      <c r="HA52">
        <v>-1.869</v>
      </c>
      <c r="HB52">
        <v>-6.3949999999999996</v>
      </c>
      <c r="HC52">
        <v>-10.895</v>
      </c>
      <c r="HD52">
        <v>-1.004</v>
      </c>
      <c r="HE52">
        <v>0.53400000000000003</v>
      </c>
      <c r="HF52">
        <v>-8.4589999999999996</v>
      </c>
      <c r="HG52">
        <v>-0.17399999999999999</v>
      </c>
      <c r="HH52">
        <v>-5.17</v>
      </c>
      <c r="HI52">
        <v>-2.3039999999999998</v>
      </c>
      <c r="HJ52">
        <v>-2.2559999999999998</v>
      </c>
      <c r="HK52">
        <v>2.141</v>
      </c>
      <c r="HL52">
        <v>2.38</v>
      </c>
      <c r="HM52">
        <v>-9.9860000000000007</v>
      </c>
      <c r="HN52">
        <v>0.14499999999999999</v>
      </c>
      <c r="HO52">
        <v>-8.8829999999999991</v>
      </c>
      <c r="HP52">
        <v>0.5</v>
      </c>
      <c r="HQ52">
        <v>-0.55800000000000005</v>
      </c>
      <c r="HR52">
        <v>-7.1970000000000001</v>
      </c>
      <c r="HS52">
        <v>-10.928000000000001</v>
      </c>
      <c r="HT52">
        <v>-3.419</v>
      </c>
      <c r="HU52">
        <v>-0.52600000000000002</v>
      </c>
      <c r="HV52">
        <v>-3.2879999999999998</v>
      </c>
      <c r="HW52">
        <v>5.1999999999999998E-2</v>
      </c>
      <c r="HX52">
        <v>-0.70199999999999996</v>
      </c>
      <c r="HY52">
        <v>2.1739999999999999</v>
      </c>
      <c r="HZ52">
        <v>0.37</v>
      </c>
      <c r="IA52">
        <v>0.184</v>
      </c>
      <c r="IB52">
        <v>-0.42199999999999999</v>
      </c>
      <c r="IC52">
        <v>-2.1890000000000001</v>
      </c>
      <c r="ID52">
        <v>-5.8360000000000003</v>
      </c>
      <c r="IE52">
        <v>0.66600000000000004</v>
      </c>
      <c r="IF52">
        <v>1.869</v>
      </c>
      <c r="IG52">
        <v>2.004</v>
      </c>
      <c r="IH52">
        <v>-3.5750000000000002</v>
      </c>
      <c r="II52">
        <v>1.3779999999999999</v>
      </c>
      <c r="IJ52">
        <v>-1.7999999999999999E-2</v>
      </c>
      <c r="IK52">
        <v>-0.53400000000000003</v>
      </c>
      <c r="IL52">
        <v>3.05</v>
      </c>
      <c r="IM52">
        <v>0.59399999999999997</v>
      </c>
      <c r="IN52">
        <v>-0.34899999999999998</v>
      </c>
      <c r="IO52">
        <v>-0.374</v>
      </c>
      <c r="IP52">
        <v>-0.36599999999999999</v>
      </c>
      <c r="IQ52">
        <v>-8.4030000000000005</v>
      </c>
      <c r="IR52">
        <v>-2.456</v>
      </c>
      <c r="IS52">
        <v>0.17599999999999999</v>
      </c>
      <c r="IT52">
        <v>0.73499999999999999</v>
      </c>
      <c r="IU52">
        <v>1.042</v>
      </c>
      <c r="IV52">
        <v>-0.47499999999999998</v>
      </c>
      <c r="IW52">
        <v>-5.79</v>
      </c>
      <c r="IX52">
        <v>-0.626</v>
      </c>
      <c r="IY52">
        <v>-0.57199999999999995</v>
      </c>
      <c r="IZ52">
        <v>-1.5089999999999999</v>
      </c>
      <c r="JA52">
        <v>0.28100000000000003</v>
      </c>
      <c r="JB52">
        <v>-0.17799999999999999</v>
      </c>
      <c r="JC52">
        <v>0.23799999999999999</v>
      </c>
      <c r="JD52">
        <v>-1.008</v>
      </c>
      <c r="JE52">
        <v>-5.1479999999999997</v>
      </c>
      <c r="JF52">
        <v>0.29299999999999998</v>
      </c>
      <c r="JG52">
        <v>2.056</v>
      </c>
      <c r="JH52">
        <v>-0.47799999999999998</v>
      </c>
      <c r="JI52">
        <v>-10.218999999999999</v>
      </c>
      <c r="JJ52">
        <v>-0.33600000000000002</v>
      </c>
      <c r="JK52">
        <v>-8.5030000000000001</v>
      </c>
      <c r="JL52">
        <v>-0.81699999999999995</v>
      </c>
      <c r="JM52">
        <v>0.92400000000000004</v>
      </c>
      <c r="JN52">
        <v>0.17100000000000001</v>
      </c>
      <c r="JO52">
        <v>0.53900000000000003</v>
      </c>
      <c r="JP52">
        <v>-7.2119999999999997</v>
      </c>
      <c r="JQ52">
        <v>-0.34200000000000003</v>
      </c>
      <c r="JR52">
        <v>0.23499999999999999</v>
      </c>
      <c r="JS52">
        <v>0.751</v>
      </c>
      <c r="JT52">
        <v>-1.4950000000000001</v>
      </c>
      <c r="JU52">
        <v>0.255</v>
      </c>
      <c r="JV52">
        <v>-0.74199999999999999</v>
      </c>
      <c r="JW52">
        <v>2.6760000000000002</v>
      </c>
      <c r="JX52">
        <v>-0.253</v>
      </c>
      <c r="JY52">
        <v>-8.4930000000000003</v>
      </c>
      <c r="JZ52">
        <v>-7.694</v>
      </c>
      <c r="KA52">
        <v>-1.6379999999999999</v>
      </c>
      <c r="KB52">
        <v>-0.32900000000000001</v>
      </c>
      <c r="KC52">
        <v>-0.373</v>
      </c>
      <c r="KD52">
        <v>0.68</v>
      </c>
      <c r="KE52">
        <v>-7.0190000000000001</v>
      </c>
      <c r="KF52">
        <v>-11.536</v>
      </c>
      <c r="KG52">
        <v>2.0739999999999998</v>
      </c>
      <c r="KH52">
        <v>2.4169999999999998</v>
      </c>
      <c r="KI52">
        <v>0.33600000000000002</v>
      </c>
      <c r="KJ52">
        <v>-1.127</v>
      </c>
      <c r="KK52">
        <v>1.444</v>
      </c>
      <c r="KL52">
        <v>-5.6769999999999996</v>
      </c>
      <c r="KM52">
        <v>-8.0950000000000006</v>
      </c>
      <c r="KN52">
        <v>-0.42699999999999999</v>
      </c>
      <c r="KO52">
        <v>-1.5720000000000001</v>
      </c>
      <c r="KP52">
        <v>-4.6189999999999998</v>
      </c>
      <c r="KQ52">
        <v>-12.821999999999999</v>
      </c>
      <c r="KR52">
        <v>-11.837999999999999</v>
      </c>
    </row>
    <row r="53" spans="1:304" x14ac:dyDescent="0.25">
      <c r="A53">
        <v>2018</v>
      </c>
      <c r="B53">
        <v>2</v>
      </c>
      <c r="C53">
        <v>-15.224</v>
      </c>
      <c r="D53">
        <v>-3.7549999999999999</v>
      </c>
      <c r="E53">
        <v>-2.5840000000000001</v>
      </c>
      <c r="F53">
        <v>-3.2890000000000001</v>
      </c>
      <c r="G53">
        <v>-3.5110000000000001</v>
      </c>
      <c r="H53">
        <v>-4.4089999999999998</v>
      </c>
      <c r="I53">
        <v>-13.821999999999999</v>
      </c>
      <c r="J53">
        <v>-13.154999999999999</v>
      </c>
      <c r="K53">
        <v>-5.0970000000000004</v>
      </c>
      <c r="L53">
        <v>-4.5190000000000001</v>
      </c>
      <c r="M53">
        <v>-5.7629999999999999</v>
      </c>
      <c r="N53">
        <v>-4.1500000000000004</v>
      </c>
      <c r="O53">
        <v>-11.31</v>
      </c>
      <c r="P53">
        <v>-1.631</v>
      </c>
      <c r="Q53">
        <v>-13.673999999999999</v>
      </c>
      <c r="R53">
        <v>-3.41</v>
      </c>
      <c r="S53">
        <v>-7.5460000000000003</v>
      </c>
      <c r="T53">
        <v>-1.7549999999999999</v>
      </c>
      <c r="U53">
        <v>-6.5819999999999999</v>
      </c>
      <c r="V53">
        <v>-3.9220000000000002</v>
      </c>
      <c r="W53">
        <v>-3.9180000000000001</v>
      </c>
      <c r="X53">
        <v>-2.6019999999999999</v>
      </c>
      <c r="Y53">
        <v>-1.8740000000000001</v>
      </c>
      <c r="Z53">
        <v>-10.412000000000001</v>
      </c>
      <c r="AA53">
        <v>-0.98899999999999999</v>
      </c>
      <c r="AB53">
        <v>-1.7649999999999999</v>
      </c>
      <c r="AC53">
        <v>-5.625</v>
      </c>
      <c r="AD53">
        <v>-4.1070000000000002</v>
      </c>
      <c r="AE53">
        <v>-3.827</v>
      </c>
      <c r="AF53">
        <v>-4.931</v>
      </c>
      <c r="AG53">
        <v>-8.2159999999999993</v>
      </c>
      <c r="AH53">
        <v>-11.519</v>
      </c>
      <c r="AI53">
        <v>-7.8680000000000003</v>
      </c>
      <c r="AJ53">
        <v>-4.3220000000000001</v>
      </c>
      <c r="AK53">
        <v>-3.1589999999999998</v>
      </c>
      <c r="AL53">
        <v>-4.7990000000000004</v>
      </c>
      <c r="AM53">
        <v>-4.4059999999999997</v>
      </c>
      <c r="AN53">
        <v>-1.68</v>
      </c>
      <c r="AO53">
        <v>-3.46</v>
      </c>
      <c r="AP53">
        <v>-5.8570000000000002</v>
      </c>
      <c r="AQ53">
        <v>-1.7130000000000001</v>
      </c>
      <c r="AR53">
        <v>-4.5609999999999999</v>
      </c>
      <c r="AS53">
        <v>2.5000000000000001E-2</v>
      </c>
      <c r="AT53">
        <v>-6.6079999999999997</v>
      </c>
      <c r="AU53">
        <v>-5.8339999999999996</v>
      </c>
      <c r="AV53">
        <v>-4.827</v>
      </c>
      <c r="AW53">
        <v>-4.452</v>
      </c>
      <c r="AX53">
        <v>-4.7469999999999999</v>
      </c>
      <c r="AY53">
        <v>-4.8879999999999999</v>
      </c>
      <c r="AZ53">
        <v>-11.53</v>
      </c>
      <c r="BA53">
        <v>-3.4319999999999999</v>
      </c>
      <c r="BB53">
        <v>-10.353999999999999</v>
      </c>
      <c r="BC53">
        <v>-6.9870000000000001</v>
      </c>
      <c r="BD53">
        <v>-3.7469999999999999</v>
      </c>
      <c r="BE53">
        <v>-4.3620000000000001</v>
      </c>
      <c r="BF53">
        <v>-3.1219999999999999</v>
      </c>
      <c r="BG53">
        <v>-12.096</v>
      </c>
      <c r="BH53">
        <v>-14.513</v>
      </c>
      <c r="BI53">
        <v>-4.8410000000000002</v>
      </c>
      <c r="BJ53">
        <v>-1.909</v>
      </c>
      <c r="BK53">
        <v>-3.625</v>
      </c>
      <c r="BL53">
        <v>-4.2469999999999999</v>
      </c>
      <c r="BM53">
        <v>-6.1970000000000001</v>
      </c>
      <c r="BN53">
        <v>-4.4859999999999998</v>
      </c>
      <c r="BO53">
        <v>-4.8899999999999997</v>
      </c>
      <c r="BP53">
        <v>-1.744</v>
      </c>
      <c r="BQ53">
        <v>-10.303000000000001</v>
      </c>
      <c r="BR53">
        <v>-3.7730000000000001</v>
      </c>
      <c r="BS53">
        <v>-3.7210000000000001</v>
      </c>
      <c r="BT53">
        <v>-12.532</v>
      </c>
      <c r="BU53">
        <v>-10.135</v>
      </c>
      <c r="BV53">
        <v>-6.1989999999999998</v>
      </c>
      <c r="BW53">
        <v>-1.196</v>
      </c>
      <c r="BX53">
        <v>-12.25</v>
      </c>
      <c r="BY53">
        <v>-2.0249999999999999</v>
      </c>
      <c r="BZ53">
        <v>-3.919</v>
      </c>
      <c r="CA53">
        <v>-3.234</v>
      </c>
      <c r="CB53">
        <v>-6.33</v>
      </c>
      <c r="CC53">
        <v>-4.1779999999999999</v>
      </c>
      <c r="CD53">
        <v>-3.839</v>
      </c>
      <c r="CE53">
        <v>-6.91</v>
      </c>
      <c r="CF53">
        <v>-3.7709999999999999</v>
      </c>
      <c r="CG53">
        <v>-3.34</v>
      </c>
      <c r="CH53">
        <v>-6.06</v>
      </c>
      <c r="CI53">
        <v>-7.5030000000000001</v>
      </c>
      <c r="CJ53">
        <v>-2.4870000000000001</v>
      </c>
      <c r="CK53">
        <v>-2.6190000000000002</v>
      </c>
      <c r="CL53">
        <v>-0.95199999999999996</v>
      </c>
      <c r="CM53">
        <v>-3.3460000000000001</v>
      </c>
      <c r="CN53">
        <v>-2.2759999999999998</v>
      </c>
      <c r="CO53">
        <v>-2.2290000000000001</v>
      </c>
      <c r="CP53">
        <v>-15.677</v>
      </c>
      <c r="CQ53">
        <v>-11.125999999999999</v>
      </c>
      <c r="CR53">
        <v>-3.72</v>
      </c>
      <c r="CS53">
        <v>-3.754</v>
      </c>
      <c r="CT53">
        <v>-12.842000000000001</v>
      </c>
      <c r="CU53">
        <v>-2.177</v>
      </c>
      <c r="CV53">
        <v>-16.190000000000001</v>
      </c>
      <c r="CW53">
        <v>-3.266</v>
      </c>
      <c r="CX53">
        <v>-2.0619999999999998</v>
      </c>
      <c r="CY53">
        <v>-5.226</v>
      </c>
      <c r="CZ53">
        <v>-1.63</v>
      </c>
      <c r="DA53">
        <v>-4.1769999999999996</v>
      </c>
      <c r="DB53">
        <v>-4.5670000000000002</v>
      </c>
      <c r="DC53">
        <v>-4.8869999999999996</v>
      </c>
      <c r="DD53">
        <v>-3.1720000000000002</v>
      </c>
      <c r="DE53">
        <v>-15.868</v>
      </c>
      <c r="DF53">
        <v>-4.5839999999999996</v>
      </c>
      <c r="DG53">
        <v>-2.0699999999999998</v>
      </c>
      <c r="DH53">
        <v>-4.601</v>
      </c>
      <c r="DI53">
        <v>-6.399</v>
      </c>
      <c r="DJ53">
        <v>-9.7409999999999997</v>
      </c>
      <c r="DK53">
        <v>-1.86</v>
      </c>
      <c r="DL53">
        <v>-4.4320000000000004</v>
      </c>
      <c r="DM53">
        <v>-4.4539999999999997</v>
      </c>
      <c r="DN53">
        <v>-2.0710000000000002</v>
      </c>
      <c r="DO53">
        <v>-4.4379999999999997</v>
      </c>
      <c r="DP53">
        <v>-2.339</v>
      </c>
      <c r="DQ53">
        <v>-15.952</v>
      </c>
      <c r="DR53">
        <v>-1.2110000000000001</v>
      </c>
      <c r="DS53">
        <v>-4.734</v>
      </c>
      <c r="DT53">
        <v>-2.052</v>
      </c>
      <c r="DU53">
        <v>-0.88900000000000001</v>
      </c>
      <c r="DV53">
        <v>-4.5419999999999998</v>
      </c>
      <c r="DW53">
        <v>-4.7450000000000001</v>
      </c>
      <c r="DX53">
        <v>-7.1769999999999996</v>
      </c>
      <c r="DY53">
        <v>-2.9119999999999999</v>
      </c>
      <c r="DZ53">
        <v>-3.32</v>
      </c>
      <c r="EA53">
        <v>-3.8460000000000001</v>
      </c>
      <c r="EB53">
        <v>-3.141</v>
      </c>
      <c r="EC53">
        <v>-2.9569999999999999</v>
      </c>
      <c r="ED53">
        <v>-5.4610000000000003</v>
      </c>
      <c r="EE53">
        <v>-4.3360000000000003</v>
      </c>
      <c r="EF53">
        <v>-3.4420000000000002</v>
      </c>
      <c r="EG53">
        <v>-8.7010000000000005</v>
      </c>
      <c r="EH53">
        <v>-0.96799999999999997</v>
      </c>
      <c r="EI53">
        <v>-6.3380000000000001</v>
      </c>
      <c r="EJ53">
        <v>-12.721</v>
      </c>
      <c r="EK53">
        <v>-1.28</v>
      </c>
      <c r="EL53">
        <v>-12.888</v>
      </c>
      <c r="EM53">
        <v>-2.0680000000000001</v>
      </c>
      <c r="EN53">
        <v>-4.3579999999999997</v>
      </c>
      <c r="EO53">
        <v>-0.86299999999999999</v>
      </c>
      <c r="EP53">
        <v>-7.415</v>
      </c>
      <c r="EQ53">
        <v>-13.23</v>
      </c>
      <c r="ER53">
        <v>-3.5310000000000001</v>
      </c>
      <c r="ES53">
        <v>-2.9649999999999999</v>
      </c>
      <c r="ET53">
        <v>-2.9119999999999999</v>
      </c>
      <c r="EU53">
        <v>-4.3550000000000004</v>
      </c>
      <c r="EV53">
        <v>-7.3840000000000003</v>
      </c>
      <c r="EW53">
        <v>-4.1619999999999999</v>
      </c>
      <c r="EX53">
        <v>-3.0179999999999998</v>
      </c>
      <c r="EY53">
        <v>-5.7279999999999998</v>
      </c>
      <c r="EZ53">
        <v>-4.7140000000000004</v>
      </c>
      <c r="FA53">
        <v>-2.2010000000000001</v>
      </c>
      <c r="FB53">
        <v>-2.34</v>
      </c>
      <c r="FC53">
        <v>-1.9019999999999999</v>
      </c>
      <c r="FD53">
        <v>-3.766</v>
      </c>
      <c r="FE53">
        <v>-5.4080000000000004</v>
      </c>
      <c r="FF53">
        <v>-6.4710000000000001</v>
      </c>
      <c r="FG53">
        <v>-7.7359999999999998</v>
      </c>
      <c r="FH53">
        <v>-10.08</v>
      </c>
      <c r="FI53">
        <v>-4.3209999999999997</v>
      </c>
      <c r="FJ53">
        <v>-4.4710000000000001</v>
      </c>
      <c r="FK53">
        <v>-12.935</v>
      </c>
      <c r="FL53">
        <v>-3.06</v>
      </c>
      <c r="FM53">
        <v>-4.2489999999999997</v>
      </c>
      <c r="FN53">
        <v>-3.9420000000000002</v>
      </c>
      <c r="FO53">
        <v>-2.8439999999999999</v>
      </c>
      <c r="FP53">
        <v>-4.5199999999999996</v>
      </c>
      <c r="FQ53">
        <v>-6.54</v>
      </c>
      <c r="FR53">
        <v>-2.7109999999999999</v>
      </c>
      <c r="FS53">
        <v>-7.7119999999999997</v>
      </c>
      <c r="FT53">
        <v>-2.4620000000000002</v>
      </c>
      <c r="FU53">
        <v>-2.984</v>
      </c>
      <c r="FV53">
        <v>-2.786</v>
      </c>
      <c r="FW53">
        <v>-3.31</v>
      </c>
      <c r="FX53">
        <v>-14.064</v>
      </c>
      <c r="FY53">
        <v>-2.4860000000000002</v>
      </c>
      <c r="FZ53">
        <v>-12.186999999999999</v>
      </c>
      <c r="GA53">
        <v>-13.417</v>
      </c>
      <c r="GB53">
        <v>-10.564</v>
      </c>
      <c r="GC53">
        <v>-1.925</v>
      </c>
      <c r="GD53">
        <v>-7.4189999999999996</v>
      </c>
      <c r="GE53">
        <v>-5.4429999999999996</v>
      </c>
      <c r="GF53">
        <v>-3.871</v>
      </c>
      <c r="GG53">
        <v>-5.734</v>
      </c>
      <c r="GH53">
        <v>-4.3630000000000004</v>
      </c>
      <c r="GI53">
        <v>-0.46200000000000002</v>
      </c>
      <c r="GJ53">
        <v>-1.91</v>
      </c>
      <c r="GK53">
        <v>-3.8359999999999999</v>
      </c>
      <c r="GL53">
        <v>-11.685</v>
      </c>
      <c r="GM53">
        <v>-5.7519999999999998</v>
      </c>
      <c r="GN53">
        <v>-1.3520000000000001</v>
      </c>
      <c r="GO53">
        <v>-4.133</v>
      </c>
      <c r="GP53">
        <v>-4.34</v>
      </c>
      <c r="GQ53">
        <v>-6.2229999999999999</v>
      </c>
      <c r="GR53">
        <v>-10.802</v>
      </c>
      <c r="GS53">
        <v>-3.867</v>
      </c>
      <c r="GT53">
        <v>-3.6850000000000001</v>
      </c>
      <c r="GU53">
        <v>-13.646000000000001</v>
      </c>
      <c r="GV53">
        <v>-1.6910000000000001</v>
      </c>
      <c r="GW53">
        <v>-1.3320000000000001</v>
      </c>
      <c r="GX53">
        <v>-2.5579999999999998</v>
      </c>
      <c r="GY53">
        <v>-3.7269999999999999</v>
      </c>
      <c r="GZ53">
        <v>-3.6429999999999998</v>
      </c>
      <c r="HA53">
        <v>-5.4</v>
      </c>
      <c r="HB53">
        <v>-9.2409999999999997</v>
      </c>
      <c r="HC53">
        <v>-12.664999999999999</v>
      </c>
      <c r="HD53">
        <v>-4.4779999999999998</v>
      </c>
      <c r="HE53">
        <v>-2.64</v>
      </c>
      <c r="HF53">
        <v>-10.747</v>
      </c>
      <c r="HG53">
        <v>-3.6869999999999998</v>
      </c>
      <c r="HH53">
        <v>-7.9539999999999997</v>
      </c>
      <c r="HI53">
        <v>-5.4960000000000004</v>
      </c>
      <c r="HJ53">
        <v>-5.1159999999999997</v>
      </c>
      <c r="HK53">
        <v>-1.591</v>
      </c>
      <c r="HL53">
        <v>-1.363</v>
      </c>
      <c r="HM53">
        <v>-9.8369999999999997</v>
      </c>
      <c r="HN53">
        <v>-3.7869999999999999</v>
      </c>
      <c r="HO53">
        <v>-10.003</v>
      </c>
      <c r="HP53">
        <v>-2.911</v>
      </c>
      <c r="HQ53">
        <v>-3.8690000000000002</v>
      </c>
      <c r="HR53">
        <v>-8.5820000000000007</v>
      </c>
      <c r="HS53">
        <v>-9.8219999999999992</v>
      </c>
      <c r="HT53">
        <v>-6.43</v>
      </c>
      <c r="HU53">
        <v>-4.1319999999999997</v>
      </c>
      <c r="HV53">
        <v>-5.6970000000000001</v>
      </c>
      <c r="HW53">
        <v>-4.4210000000000003</v>
      </c>
      <c r="HX53">
        <v>-4.0170000000000003</v>
      </c>
      <c r="HY53">
        <v>-1.6140000000000001</v>
      </c>
      <c r="HZ53">
        <v>-2.9420000000000002</v>
      </c>
      <c r="IA53">
        <v>-3.9390000000000001</v>
      </c>
      <c r="IB53">
        <v>-4.3869999999999996</v>
      </c>
      <c r="IC53">
        <v>-4.9950000000000001</v>
      </c>
      <c r="ID53">
        <v>-8.5449999999999999</v>
      </c>
      <c r="IE53">
        <v>-2.9950000000000001</v>
      </c>
      <c r="IF53">
        <v>-1.679</v>
      </c>
      <c r="IG53">
        <v>-1.619</v>
      </c>
      <c r="IH53">
        <v>-5.9420000000000002</v>
      </c>
      <c r="II53">
        <v>-2.2170000000000001</v>
      </c>
      <c r="IJ53">
        <v>-3.9180000000000001</v>
      </c>
      <c r="IK53">
        <v>-4.3499999999999996</v>
      </c>
      <c r="IL53">
        <v>-0.51300000000000001</v>
      </c>
      <c r="IM53">
        <v>-2.903</v>
      </c>
      <c r="IN53">
        <v>-3.5830000000000002</v>
      </c>
      <c r="IO53">
        <v>-3.746</v>
      </c>
      <c r="IP53">
        <v>-3.9729999999999999</v>
      </c>
      <c r="IQ53">
        <v>-10.084</v>
      </c>
      <c r="IR53">
        <v>-5.2439999999999998</v>
      </c>
      <c r="IS53">
        <v>-4.0129999999999999</v>
      </c>
      <c r="IT53">
        <v>-2.7170000000000001</v>
      </c>
      <c r="IU53">
        <v>-3.03</v>
      </c>
      <c r="IV53">
        <v>-4.4240000000000004</v>
      </c>
      <c r="IW53">
        <v>-10.288</v>
      </c>
      <c r="IX53">
        <v>-4.0579999999999998</v>
      </c>
      <c r="IY53">
        <v>-4.1420000000000003</v>
      </c>
      <c r="IZ53">
        <v>-4.6769999999999996</v>
      </c>
      <c r="JA53">
        <v>-3.786</v>
      </c>
      <c r="JB53">
        <v>-3.9390000000000001</v>
      </c>
      <c r="JC53">
        <v>-4.1719999999999997</v>
      </c>
      <c r="JD53">
        <v>-4.6719999999999997</v>
      </c>
      <c r="JE53">
        <v>-7.1180000000000003</v>
      </c>
      <c r="JF53">
        <v>-3.581</v>
      </c>
      <c r="JG53">
        <v>-1.6779999999999999</v>
      </c>
      <c r="JH53">
        <v>-3.968</v>
      </c>
      <c r="JI53">
        <v>-12.263999999999999</v>
      </c>
      <c r="JJ53">
        <v>-4</v>
      </c>
      <c r="JK53">
        <v>-12.042</v>
      </c>
      <c r="JL53">
        <v>-4.3449999999999998</v>
      </c>
      <c r="JM53">
        <v>-1.972</v>
      </c>
      <c r="JN53">
        <v>-3.738</v>
      </c>
      <c r="JO53">
        <v>-2.8690000000000002</v>
      </c>
      <c r="JP53">
        <v>-11.241</v>
      </c>
      <c r="JQ53">
        <v>-3.794</v>
      </c>
      <c r="JR53">
        <v>-3.496</v>
      </c>
      <c r="JS53">
        <v>-2.8140000000000001</v>
      </c>
      <c r="JT53">
        <v>-4.6340000000000003</v>
      </c>
      <c r="JU53">
        <v>-3.4289999999999998</v>
      </c>
      <c r="JV53">
        <v>-4.4080000000000004</v>
      </c>
      <c r="JW53">
        <v>-0.68200000000000005</v>
      </c>
      <c r="JX53">
        <v>-3.6179999999999999</v>
      </c>
      <c r="JY53">
        <v>-9.8160000000000007</v>
      </c>
      <c r="JZ53">
        <v>-9.8539999999999992</v>
      </c>
      <c r="KA53">
        <v>-4.8970000000000002</v>
      </c>
      <c r="KB53">
        <v>-3.8210000000000002</v>
      </c>
      <c r="KC53">
        <v>-4.7249999999999996</v>
      </c>
      <c r="KD53">
        <v>-3.399</v>
      </c>
      <c r="KE53">
        <v>-8.173</v>
      </c>
      <c r="KF53">
        <v>-13.709</v>
      </c>
      <c r="KG53">
        <v>-1.6719999999999999</v>
      </c>
      <c r="KH53">
        <v>-1.161</v>
      </c>
      <c r="KI53">
        <v>-3.609</v>
      </c>
      <c r="KJ53">
        <v>-4.548</v>
      </c>
      <c r="KK53">
        <v>-2.552</v>
      </c>
      <c r="KL53">
        <v>-9.8179999999999996</v>
      </c>
      <c r="KM53">
        <v>-10.090999999999999</v>
      </c>
      <c r="KN53">
        <v>-3.9929999999999999</v>
      </c>
      <c r="KO53">
        <v>-4.2850000000000001</v>
      </c>
      <c r="KP53">
        <v>-6.8230000000000004</v>
      </c>
      <c r="KQ53">
        <v>-13.622999999999999</v>
      </c>
      <c r="KR53">
        <v>-13.161</v>
      </c>
    </row>
    <row r="54" spans="1:304" x14ac:dyDescent="0.25">
      <c r="A54">
        <v>2018</v>
      </c>
      <c r="B54">
        <v>3</v>
      </c>
      <c r="C54">
        <v>-10.459</v>
      </c>
      <c r="D54">
        <v>-2.1920000000000002</v>
      </c>
      <c r="E54">
        <v>-1.415</v>
      </c>
      <c r="F54">
        <v>-1.944</v>
      </c>
      <c r="G54">
        <v>-1.897</v>
      </c>
      <c r="H54">
        <v>-2.5169999999999999</v>
      </c>
      <c r="I54">
        <v>-10.554</v>
      </c>
      <c r="J54">
        <v>-9.5090000000000003</v>
      </c>
      <c r="K54">
        <v>-3.476</v>
      </c>
      <c r="L54">
        <v>-2.9289999999999998</v>
      </c>
      <c r="M54">
        <v>-3.5920000000000001</v>
      </c>
      <c r="N54">
        <v>-2.7469999999999999</v>
      </c>
      <c r="O54">
        <v>-6.8090000000000002</v>
      </c>
      <c r="P54">
        <v>-0.20799999999999999</v>
      </c>
      <c r="Q54">
        <v>-7.7389999999999999</v>
      </c>
      <c r="R54">
        <v>-1.8919999999999999</v>
      </c>
      <c r="S54">
        <v>-5.1319999999999997</v>
      </c>
      <c r="T54">
        <v>-0.28599999999999998</v>
      </c>
      <c r="U54">
        <v>-4.1749999999999998</v>
      </c>
      <c r="V54">
        <v>-2.379</v>
      </c>
      <c r="W54">
        <v>-2.2280000000000002</v>
      </c>
      <c r="X54">
        <v>-0.58899999999999997</v>
      </c>
      <c r="Y54">
        <v>-0.223</v>
      </c>
      <c r="Z54">
        <v>-7.7290000000000001</v>
      </c>
      <c r="AA54">
        <v>0.20699999999999999</v>
      </c>
      <c r="AB54">
        <v>-0.56899999999999995</v>
      </c>
      <c r="AC54">
        <v>-4.1840000000000002</v>
      </c>
      <c r="AD54">
        <v>-2.84</v>
      </c>
      <c r="AE54">
        <v>-2.15</v>
      </c>
      <c r="AF54">
        <v>-3.0459999999999998</v>
      </c>
      <c r="AG54">
        <v>-5.8360000000000003</v>
      </c>
      <c r="AH54">
        <v>-9.5440000000000005</v>
      </c>
      <c r="AI54">
        <v>-5.6849999999999996</v>
      </c>
      <c r="AJ54">
        <v>-2.899</v>
      </c>
      <c r="AK54">
        <v>-1.5449999999999999</v>
      </c>
      <c r="AL54">
        <v>-2.9620000000000002</v>
      </c>
      <c r="AM54">
        <v>-2.5979999999999999</v>
      </c>
      <c r="AN54">
        <v>-0.182</v>
      </c>
      <c r="AO54">
        <v>-2.036</v>
      </c>
      <c r="AP54">
        <v>-3.5259999999999998</v>
      </c>
      <c r="AQ54">
        <v>-0.54400000000000004</v>
      </c>
      <c r="AR54">
        <v>-3.1589999999999998</v>
      </c>
      <c r="AS54">
        <v>0.46200000000000002</v>
      </c>
      <c r="AT54">
        <v>-4.0919999999999996</v>
      </c>
      <c r="AU54">
        <v>-3.9660000000000002</v>
      </c>
      <c r="AV54">
        <v>-3.5139999999999998</v>
      </c>
      <c r="AW54">
        <v>-2.282</v>
      </c>
      <c r="AX54">
        <v>-2.6190000000000002</v>
      </c>
      <c r="AY54">
        <v>-3.0979999999999999</v>
      </c>
      <c r="AZ54">
        <v>-7.8819999999999997</v>
      </c>
      <c r="BA54">
        <v>-2.3130000000000002</v>
      </c>
      <c r="BB54">
        <v>-7.7779999999999996</v>
      </c>
      <c r="BC54">
        <v>-4.67</v>
      </c>
      <c r="BD54">
        <v>-2.0390000000000001</v>
      </c>
      <c r="BE54">
        <v>-2.5760000000000001</v>
      </c>
      <c r="BF54">
        <v>-1.905</v>
      </c>
      <c r="BG54">
        <v>-9.9550000000000001</v>
      </c>
      <c r="BH54">
        <v>-9.8780000000000001</v>
      </c>
      <c r="BI54">
        <v>-3.2879999999999998</v>
      </c>
      <c r="BJ54">
        <v>-0.79400000000000004</v>
      </c>
      <c r="BK54">
        <v>-2.1269999999999998</v>
      </c>
      <c r="BL54">
        <v>-2.6890000000000001</v>
      </c>
      <c r="BM54">
        <v>-4.3860000000000001</v>
      </c>
      <c r="BN54">
        <v>-2.706</v>
      </c>
      <c r="BO54">
        <v>-2.8050000000000002</v>
      </c>
      <c r="BP54">
        <v>-0.39500000000000002</v>
      </c>
      <c r="BQ54">
        <v>-7.2160000000000002</v>
      </c>
      <c r="BR54">
        <v>-2.3090000000000002</v>
      </c>
      <c r="BS54">
        <v>-2.0859999999999999</v>
      </c>
      <c r="BT54">
        <v>-7.9980000000000002</v>
      </c>
      <c r="BU54">
        <v>-8.2629999999999999</v>
      </c>
      <c r="BV54">
        <v>-3.8690000000000002</v>
      </c>
      <c r="BW54">
        <v>-0.08</v>
      </c>
      <c r="BX54">
        <v>-11.824</v>
      </c>
      <c r="BY54">
        <v>-0.88400000000000001</v>
      </c>
      <c r="BZ54">
        <v>-2.3559999999999999</v>
      </c>
      <c r="CA54">
        <v>-1.944</v>
      </c>
      <c r="CB54">
        <v>-3.9129999999999998</v>
      </c>
      <c r="CC54">
        <v>-2.6179999999999999</v>
      </c>
      <c r="CD54">
        <v>-2.149</v>
      </c>
      <c r="CE54">
        <v>-4.7039999999999997</v>
      </c>
      <c r="CF54">
        <v>-2.0409999999999999</v>
      </c>
      <c r="CG54">
        <v>-1.5589999999999999</v>
      </c>
      <c r="CH54">
        <v>-4.0190000000000001</v>
      </c>
      <c r="CI54">
        <v>-4.9320000000000004</v>
      </c>
      <c r="CJ54">
        <v>-1.19</v>
      </c>
      <c r="CK54">
        <v>-0.748</v>
      </c>
      <c r="CL54">
        <v>-0.127</v>
      </c>
      <c r="CM54">
        <v>-1.4710000000000001</v>
      </c>
      <c r="CN54">
        <v>-0.629</v>
      </c>
      <c r="CO54">
        <v>-0.56000000000000005</v>
      </c>
      <c r="CP54">
        <v>-10.004</v>
      </c>
      <c r="CQ54">
        <v>-8.0950000000000006</v>
      </c>
      <c r="CR54">
        <v>-2.081</v>
      </c>
      <c r="CS54">
        <v>-2.4529999999999998</v>
      </c>
      <c r="CT54">
        <v>-7.9610000000000003</v>
      </c>
      <c r="CU54">
        <v>-0.497</v>
      </c>
      <c r="CV54">
        <v>-12.204000000000001</v>
      </c>
      <c r="CW54">
        <v>-1.9259999999999999</v>
      </c>
      <c r="CX54">
        <v>-0.45100000000000001</v>
      </c>
      <c r="CY54">
        <v>-3.2970000000000002</v>
      </c>
      <c r="CZ54">
        <v>-0.27600000000000002</v>
      </c>
      <c r="DA54">
        <v>-2.5169999999999999</v>
      </c>
      <c r="DB54">
        <v>-2.4260000000000002</v>
      </c>
      <c r="DC54">
        <v>-3.1419999999999999</v>
      </c>
      <c r="DD54">
        <v>-1.546</v>
      </c>
      <c r="DE54">
        <v>-10.795</v>
      </c>
      <c r="DF54">
        <v>-2.6840000000000002</v>
      </c>
      <c r="DG54">
        <v>-0.45400000000000001</v>
      </c>
      <c r="DH54">
        <v>-3.1019999999999999</v>
      </c>
      <c r="DI54">
        <v>-4.0199999999999996</v>
      </c>
      <c r="DJ54">
        <v>-6.2450000000000001</v>
      </c>
      <c r="DK54">
        <v>-7.2999999999999995E-2</v>
      </c>
      <c r="DL54">
        <v>-2.778</v>
      </c>
      <c r="DM54">
        <v>-2.5830000000000002</v>
      </c>
      <c r="DN54">
        <v>-0.80900000000000005</v>
      </c>
      <c r="DO54">
        <v>-2.5259999999999998</v>
      </c>
      <c r="DP54">
        <v>-1.216</v>
      </c>
      <c r="DQ54">
        <v>-10.374000000000001</v>
      </c>
      <c r="DR54">
        <v>8.7999999999999995E-2</v>
      </c>
      <c r="DS54">
        <v>-2.673</v>
      </c>
      <c r="DT54">
        <v>-0.50600000000000001</v>
      </c>
      <c r="DU54">
        <v>6.8000000000000005E-2</v>
      </c>
      <c r="DV54">
        <v>-2.8359999999999999</v>
      </c>
      <c r="DW54">
        <v>-2.7490000000000001</v>
      </c>
      <c r="DX54">
        <v>-4.9370000000000003</v>
      </c>
      <c r="DY54">
        <v>-1.62</v>
      </c>
      <c r="DZ54">
        <v>-1.843</v>
      </c>
      <c r="EA54">
        <v>-2.1659999999999999</v>
      </c>
      <c r="EB54">
        <v>-1.841</v>
      </c>
      <c r="EC54">
        <v>-1.7669999999999999</v>
      </c>
      <c r="ED54">
        <v>-3.0790000000000002</v>
      </c>
      <c r="EE54">
        <v>-2.3149999999999999</v>
      </c>
      <c r="EF54">
        <v>-1.7669999999999999</v>
      </c>
      <c r="EG54">
        <v>-6.1280000000000001</v>
      </c>
      <c r="EH54">
        <v>0.219</v>
      </c>
      <c r="EI54">
        <v>-3.94</v>
      </c>
      <c r="EJ54">
        <v>-7.7240000000000002</v>
      </c>
      <c r="EK54">
        <v>5.8000000000000003E-2</v>
      </c>
      <c r="EL54">
        <v>-8.92</v>
      </c>
      <c r="EM54">
        <v>-1.3140000000000001</v>
      </c>
      <c r="EN54">
        <v>-2.7429999999999999</v>
      </c>
      <c r="EO54">
        <v>0.24</v>
      </c>
      <c r="EP54">
        <v>-6.2350000000000003</v>
      </c>
      <c r="EQ54">
        <v>-9.3179999999999996</v>
      </c>
      <c r="ER54">
        <v>-2.0819999999999999</v>
      </c>
      <c r="ES54">
        <v>-1.083</v>
      </c>
      <c r="ET54">
        <v>-1.9079999999999999</v>
      </c>
      <c r="EU54">
        <v>-2.7040000000000002</v>
      </c>
      <c r="EV54">
        <v>-5.2869999999999999</v>
      </c>
      <c r="EW54">
        <v>-2.5880000000000001</v>
      </c>
      <c r="EX54">
        <v>-1.9670000000000001</v>
      </c>
      <c r="EY54">
        <v>-3.7080000000000002</v>
      </c>
      <c r="EZ54">
        <v>-3.2389999999999999</v>
      </c>
      <c r="FA54">
        <v>-0.97</v>
      </c>
      <c r="FB54">
        <v>-0.55300000000000005</v>
      </c>
      <c r="FC54">
        <v>-0.48699999999999999</v>
      </c>
      <c r="FD54">
        <v>-2.097</v>
      </c>
      <c r="FE54">
        <v>-3.1520000000000001</v>
      </c>
      <c r="FF54">
        <v>-4.0970000000000004</v>
      </c>
      <c r="FG54">
        <v>-4.9610000000000003</v>
      </c>
      <c r="FH54">
        <v>-5.6980000000000004</v>
      </c>
      <c r="FI54">
        <v>-2.1179999999999999</v>
      </c>
      <c r="FJ54">
        <v>-3.0430000000000001</v>
      </c>
      <c r="FK54">
        <v>-8.5220000000000002</v>
      </c>
      <c r="FL54">
        <v>-1.2190000000000001</v>
      </c>
      <c r="FM54">
        <v>-2.5179999999999998</v>
      </c>
      <c r="FN54">
        <v>-1.968</v>
      </c>
      <c r="FO54">
        <v>-1.6220000000000001</v>
      </c>
      <c r="FP54">
        <v>-3.1419999999999999</v>
      </c>
      <c r="FQ54">
        <v>-4.2720000000000002</v>
      </c>
      <c r="FR54">
        <v>-0.73299999999999998</v>
      </c>
      <c r="FS54">
        <v>-5.43</v>
      </c>
      <c r="FT54">
        <v>-1.448</v>
      </c>
      <c r="FU54">
        <v>-0.94599999999999995</v>
      </c>
      <c r="FV54">
        <v>-0.91900000000000004</v>
      </c>
      <c r="FW54">
        <v>-1.6220000000000001</v>
      </c>
      <c r="FX54">
        <v>-9.2780000000000005</v>
      </c>
      <c r="FY54">
        <v>-1.256</v>
      </c>
      <c r="FZ54">
        <v>-7.0439999999999996</v>
      </c>
      <c r="GA54">
        <v>-10.651</v>
      </c>
      <c r="GB54">
        <v>-6.2149999999999999</v>
      </c>
      <c r="GC54">
        <v>-0.47299999999999998</v>
      </c>
      <c r="GD54">
        <v>-5.1980000000000004</v>
      </c>
      <c r="GE54">
        <v>-3.4660000000000002</v>
      </c>
      <c r="GF54">
        <v>-2.1859999999999999</v>
      </c>
      <c r="GG54">
        <v>-3.5750000000000002</v>
      </c>
      <c r="GH54">
        <v>-2.8250000000000002</v>
      </c>
      <c r="GI54">
        <v>0.41499999999999998</v>
      </c>
      <c r="GJ54">
        <v>-0.51100000000000001</v>
      </c>
      <c r="GK54">
        <v>-2.27</v>
      </c>
      <c r="GL54">
        <v>-6.4889999999999999</v>
      </c>
      <c r="GM54">
        <v>-3.4620000000000002</v>
      </c>
      <c r="GN54">
        <v>-0.182</v>
      </c>
      <c r="GO54">
        <v>-2.9910000000000001</v>
      </c>
      <c r="GP54">
        <v>-2.7810000000000001</v>
      </c>
      <c r="GQ54">
        <v>-3.7509999999999999</v>
      </c>
      <c r="GR54">
        <v>-7.1470000000000002</v>
      </c>
      <c r="GS54">
        <v>-2.23</v>
      </c>
      <c r="GT54">
        <v>-2.0089999999999999</v>
      </c>
      <c r="GU54">
        <v>-9.9979999999999993</v>
      </c>
      <c r="GV54">
        <v>-1.256</v>
      </c>
      <c r="GW54">
        <v>5.0000000000000001E-3</v>
      </c>
      <c r="GX54">
        <v>-1.4710000000000001</v>
      </c>
      <c r="GY54">
        <v>-2.0379999999999998</v>
      </c>
      <c r="GZ54">
        <v>-1.9750000000000001</v>
      </c>
      <c r="HA54">
        <v>-3.5939999999999999</v>
      </c>
      <c r="HB54">
        <v>-8.1579999999999995</v>
      </c>
      <c r="HC54">
        <v>-9.9749999999999996</v>
      </c>
      <c r="HD54">
        <v>-2.6840000000000002</v>
      </c>
      <c r="HE54">
        <v>-1.637</v>
      </c>
      <c r="HF54">
        <v>-8.532</v>
      </c>
      <c r="HG54">
        <v>-2.0219999999999998</v>
      </c>
      <c r="HH54">
        <v>-5.0519999999999996</v>
      </c>
      <c r="HI54">
        <v>-3.6930000000000001</v>
      </c>
      <c r="HJ54">
        <v>-2.992</v>
      </c>
      <c r="HK54">
        <v>-0.161</v>
      </c>
      <c r="HL54">
        <v>-5.2999999999999999E-2</v>
      </c>
      <c r="HM54">
        <v>-8.125</v>
      </c>
      <c r="HN54">
        <v>-2.1469999999999998</v>
      </c>
      <c r="HO54">
        <v>-7.843</v>
      </c>
      <c r="HP54">
        <v>-1.895</v>
      </c>
      <c r="HQ54">
        <v>-2.38</v>
      </c>
      <c r="HR54">
        <v>-7.0339999999999998</v>
      </c>
      <c r="HS54">
        <v>-9.0540000000000003</v>
      </c>
      <c r="HT54">
        <v>-4.0519999999999996</v>
      </c>
      <c r="HU54">
        <v>-2.7450000000000001</v>
      </c>
      <c r="HV54">
        <v>-3.956</v>
      </c>
      <c r="HW54">
        <v>-2.1480000000000001</v>
      </c>
      <c r="HX54">
        <v>-2.3079999999999998</v>
      </c>
      <c r="HY54">
        <v>-0.19500000000000001</v>
      </c>
      <c r="HZ54">
        <v>-1.9039999999999999</v>
      </c>
      <c r="IA54">
        <v>-2.4380000000000002</v>
      </c>
      <c r="IB54">
        <v>-2.911</v>
      </c>
      <c r="IC54">
        <v>-3.4260000000000002</v>
      </c>
      <c r="ID54">
        <v>-5.556</v>
      </c>
      <c r="IE54">
        <v>-1.369</v>
      </c>
      <c r="IF54">
        <v>-1.028</v>
      </c>
      <c r="IG54">
        <v>-0.32600000000000001</v>
      </c>
      <c r="IH54">
        <v>-4.2489999999999997</v>
      </c>
      <c r="II54">
        <v>-0.61</v>
      </c>
      <c r="IJ54">
        <v>-2.27</v>
      </c>
      <c r="IK54">
        <v>-2.8149999999999999</v>
      </c>
      <c r="IL54">
        <v>0.375</v>
      </c>
      <c r="IM54">
        <v>-1.847</v>
      </c>
      <c r="IN54">
        <v>-2.1419999999999999</v>
      </c>
      <c r="IO54">
        <v>-2.1589999999999998</v>
      </c>
      <c r="IP54">
        <v>-2.3140000000000001</v>
      </c>
      <c r="IQ54">
        <v>-8.6329999999999991</v>
      </c>
      <c r="IR54">
        <v>-3.4079999999999999</v>
      </c>
      <c r="IS54">
        <v>-2.383</v>
      </c>
      <c r="IT54">
        <v>-1.7</v>
      </c>
      <c r="IU54">
        <v>-1.34</v>
      </c>
      <c r="IV54">
        <v>-2.8740000000000001</v>
      </c>
      <c r="IW54">
        <v>-5.8780000000000001</v>
      </c>
      <c r="IX54">
        <v>-2.5209999999999999</v>
      </c>
      <c r="IY54">
        <v>-2.5510000000000002</v>
      </c>
      <c r="IZ54">
        <v>-3.141</v>
      </c>
      <c r="JA54">
        <v>-2.3980000000000001</v>
      </c>
      <c r="JB54">
        <v>-2.5150000000000001</v>
      </c>
      <c r="JC54">
        <v>-1.5840000000000001</v>
      </c>
      <c r="JD54">
        <v>-3.0880000000000001</v>
      </c>
      <c r="JE54">
        <v>-5.55</v>
      </c>
      <c r="JF54">
        <v>-2.012</v>
      </c>
      <c r="JG54">
        <v>-0.56799999999999995</v>
      </c>
      <c r="JH54">
        <v>-2.585</v>
      </c>
      <c r="JI54">
        <v>-10.38</v>
      </c>
      <c r="JJ54">
        <v>-2.242</v>
      </c>
      <c r="JK54">
        <v>-7.4770000000000003</v>
      </c>
      <c r="JL54">
        <v>-2.3730000000000002</v>
      </c>
      <c r="JM54">
        <v>-0.91300000000000003</v>
      </c>
      <c r="JN54">
        <v>-2.2330000000000001</v>
      </c>
      <c r="JO54">
        <v>-1.9370000000000001</v>
      </c>
      <c r="JP54">
        <v>-6.4859999999999998</v>
      </c>
      <c r="JQ54">
        <v>-2.2120000000000002</v>
      </c>
      <c r="JR54">
        <v>-1.927</v>
      </c>
      <c r="JS54">
        <v>-0.94199999999999995</v>
      </c>
      <c r="JT54">
        <v>-2.681</v>
      </c>
      <c r="JU54">
        <v>-1.877</v>
      </c>
      <c r="JV54">
        <v>-2.8540000000000001</v>
      </c>
      <c r="JW54">
        <v>0.124</v>
      </c>
      <c r="JX54">
        <v>-2.1850000000000001</v>
      </c>
      <c r="JY54">
        <v>-6.8390000000000004</v>
      </c>
      <c r="JZ54">
        <v>-7.7080000000000002</v>
      </c>
      <c r="KA54">
        <v>-3.5680000000000001</v>
      </c>
      <c r="KB54">
        <v>-2.4569999999999999</v>
      </c>
      <c r="KC54">
        <v>-2.452</v>
      </c>
      <c r="KD54">
        <v>-1.4590000000000001</v>
      </c>
      <c r="KE54">
        <v>-6.1180000000000003</v>
      </c>
      <c r="KF54">
        <v>-7.9290000000000003</v>
      </c>
      <c r="KG54">
        <v>-0.29699999999999999</v>
      </c>
      <c r="KH54">
        <v>-0.61099999999999999</v>
      </c>
      <c r="KI54">
        <v>-2.1960000000000002</v>
      </c>
      <c r="KJ54">
        <v>-2.4430000000000001</v>
      </c>
      <c r="KK54">
        <v>-0.82099999999999995</v>
      </c>
      <c r="KL54">
        <v>-5.923</v>
      </c>
      <c r="KM54">
        <v>-7.5819999999999999</v>
      </c>
      <c r="KN54">
        <v>-2.3279999999999998</v>
      </c>
      <c r="KO54">
        <v>-3.177</v>
      </c>
      <c r="KP54">
        <v>-5.3140000000000001</v>
      </c>
      <c r="KQ54">
        <v>-8.4109999999999996</v>
      </c>
      <c r="KR54">
        <v>-8.2929999999999993</v>
      </c>
    </row>
    <row r="55" spans="1:304" x14ac:dyDescent="0.25">
      <c r="A55">
        <v>2018</v>
      </c>
      <c r="B55">
        <v>4</v>
      </c>
      <c r="C55">
        <v>-1.587</v>
      </c>
      <c r="D55">
        <v>6.07</v>
      </c>
      <c r="E55">
        <v>7.21</v>
      </c>
      <c r="F55">
        <v>6.9269999999999996</v>
      </c>
      <c r="G55">
        <v>7.3920000000000003</v>
      </c>
      <c r="H55">
        <v>6.3739999999999997</v>
      </c>
      <c r="I55">
        <v>-1.0580000000000001</v>
      </c>
      <c r="J55">
        <v>0.28000000000000003</v>
      </c>
      <c r="K55">
        <v>5.1609999999999996</v>
      </c>
      <c r="L55">
        <v>6.14</v>
      </c>
      <c r="M55">
        <v>4.992</v>
      </c>
      <c r="N55">
        <v>6.1529999999999996</v>
      </c>
      <c r="O55">
        <v>2.448</v>
      </c>
      <c r="P55">
        <v>9.2200000000000006</v>
      </c>
      <c r="Q55">
        <v>1.403</v>
      </c>
      <c r="R55">
        <v>7.0810000000000004</v>
      </c>
      <c r="S55">
        <v>3.6909999999999998</v>
      </c>
      <c r="T55">
        <v>7.6669999999999998</v>
      </c>
      <c r="U55">
        <v>4.4580000000000002</v>
      </c>
      <c r="V55">
        <v>6.6870000000000003</v>
      </c>
      <c r="W55">
        <v>6.125</v>
      </c>
      <c r="X55">
        <v>8.3810000000000002</v>
      </c>
      <c r="Y55">
        <v>8.1470000000000002</v>
      </c>
      <c r="Z55">
        <v>1.6020000000000001</v>
      </c>
      <c r="AA55">
        <v>9.3510000000000009</v>
      </c>
      <c r="AB55">
        <v>8.3670000000000009</v>
      </c>
      <c r="AC55">
        <v>4.5919999999999996</v>
      </c>
      <c r="AD55">
        <v>6.0869999999999997</v>
      </c>
      <c r="AE55">
        <v>6.4489999999999998</v>
      </c>
      <c r="AF55">
        <v>5.8730000000000002</v>
      </c>
      <c r="AG55">
        <v>2.9180000000000001</v>
      </c>
      <c r="AH55">
        <v>0.77900000000000003</v>
      </c>
      <c r="AI55">
        <v>3.2090000000000001</v>
      </c>
      <c r="AJ55">
        <v>6.4630000000000001</v>
      </c>
      <c r="AK55">
        <v>7.5439999999999996</v>
      </c>
      <c r="AL55">
        <v>6.08</v>
      </c>
      <c r="AM55">
        <v>6.2939999999999996</v>
      </c>
      <c r="AN55">
        <v>9.2200000000000006</v>
      </c>
      <c r="AO55">
        <v>6.9379999999999997</v>
      </c>
      <c r="AP55">
        <v>5.0469999999999997</v>
      </c>
      <c r="AQ55">
        <v>7.9790000000000001</v>
      </c>
      <c r="AR55">
        <v>6.5179999999999998</v>
      </c>
      <c r="AS55">
        <v>7.4089999999999998</v>
      </c>
      <c r="AT55">
        <v>4.3220000000000001</v>
      </c>
      <c r="AU55">
        <v>4.8280000000000003</v>
      </c>
      <c r="AV55">
        <v>5.008</v>
      </c>
      <c r="AW55">
        <v>6.532</v>
      </c>
      <c r="AX55">
        <v>6.2039999999999997</v>
      </c>
      <c r="AY55">
        <v>5.8339999999999996</v>
      </c>
      <c r="AZ55">
        <v>1.728</v>
      </c>
      <c r="BA55">
        <v>6.266</v>
      </c>
      <c r="BB55">
        <v>1.7290000000000001</v>
      </c>
      <c r="BC55">
        <v>4.1950000000000003</v>
      </c>
      <c r="BD55">
        <v>7.0259999999999998</v>
      </c>
      <c r="BE55">
        <v>5.92</v>
      </c>
      <c r="BF55">
        <v>6.8150000000000004</v>
      </c>
      <c r="BG55">
        <v>0.56899999999999995</v>
      </c>
      <c r="BH55">
        <v>0.10299999999999999</v>
      </c>
      <c r="BI55">
        <v>4.4509999999999996</v>
      </c>
      <c r="BJ55">
        <v>7.6509999999999998</v>
      </c>
      <c r="BK55">
        <v>7.21</v>
      </c>
      <c r="BL55">
        <v>6.1630000000000003</v>
      </c>
      <c r="BM55">
        <v>4.3620000000000001</v>
      </c>
      <c r="BN55">
        <v>6.4370000000000003</v>
      </c>
      <c r="BO55">
        <v>6.0970000000000004</v>
      </c>
      <c r="BP55">
        <v>8.2739999999999991</v>
      </c>
      <c r="BQ55">
        <v>2.073</v>
      </c>
      <c r="BR55">
        <v>5.4450000000000003</v>
      </c>
      <c r="BS55">
        <v>5.6470000000000002</v>
      </c>
      <c r="BT55">
        <v>0.245</v>
      </c>
      <c r="BU55">
        <v>0.99299999999999999</v>
      </c>
      <c r="BV55">
        <v>4.7119999999999997</v>
      </c>
      <c r="BW55">
        <v>9.0860000000000003</v>
      </c>
      <c r="BX55">
        <v>-2.0259999999999998</v>
      </c>
      <c r="BY55">
        <v>6.8330000000000002</v>
      </c>
      <c r="BZ55">
        <v>6.9320000000000004</v>
      </c>
      <c r="CA55">
        <v>6.3959999999999999</v>
      </c>
      <c r="CB55">
        <v>4.3780000000000001</v>
      </c>
      <c r="CC55">
        <v>6.5460000000000003</v>
      </c>
      <c r="CD55">
        <v>6.1239999999999997</v>
      </c>
      <c r="CE55">
        <v>3.4420000000000002</v>
      </c>
      <c r="CF55">
        <v>7.2</v>
      </c>
      <c r="CG55">
        <v>7.468</v>
      </c>
      <c r="CH55">
        <v>4.6500000000000004</v>
      </c>
      <c r="CI55">
        <v>3.0009999999999999</v>
      </c>
      <c r="CJ55">
        <v>7.6070000000000002</v>
      </c>
      <c r="CK55">
        <v>8.2409999999999997</v>
      </c>
      <c r="CL55">
        <v>8.3640000000000008</v>
      </c>
      <c r="CM55">
        <v>7.6379999999999999</v>
      </c>
      <c r="CN55">
        <v>8.6340000000000003</v>
      </c>
      <c r="CO55">
        <v>8.6769999999999996</v>
      </c>
      <c r="CP55">
        <v>-1.7000000000000001E-2</v>
      </c>
      <c r="CQ55">
        <v>1.639</v>
      </c>
      <c r="CR55">
        <v>6.6470000000000002</v>
      </c>
      <c r="CS55">
        <v>6.7690000000000001</v>
      </c>
      <c r="CT55">
        <v>0.35199999999999998</v>
      </c>
      <c r="CU55">
        <v>7.6159999999999997</v>
      </c>
      <c r="CV55">
        <v>-1.5089999999999999</v>
      </c>
      <c r="CW55">
        <v>6.1219999999999999</v>
      </c>
      <c r="CX55">
        <v>7.79</v>
      </c>
      <c r="CY55">
        <v>5.5789999999999997</v>
      </c>
      <c r="CZ55">
        <v>7.5880000000000001</v>
      </c>
      <c r="DA55">
        <v>5.77</v>
      </c>
      <c r="DB55">
        <v>6.4379999999999997</v>
      </c>
      <c r="DC55">
        <v>5.7649999999999997</v>
      </c>
      <c r="DD55">
        <v>7.48</v>
      </c>
      <c r="DE55">
        <v>-0.78200000000000003</v>
      </c>
      <c r="DF55">
        <v>6.4980000000000002</v>
      </c>
      <c r="DG55">
        <v>8.7729999999999997</v>
      </c>
      <c r="DH55">
        <v>6.0350000000000001</v>
      </c>
      <c r="DI55">
        <v>4.6929999999999996</v>
      </c>
      <c r="DJ55">
        <v>2.673</v>
      </c>
      <c r="DK55">
        <v>8.69</v>
      </c>
      <c r="DL55">
        <v>5.7060000000000004</v>
      </c>
      <c r="DM55">
        <v>6.5330000000000004</v>
      </c>
      <c r="DN55">
        <v>7.6550000000000002</v>
      </c>
      <c r="DO55">
        <v>6.3849999999999998</v>
      </c>
      <c r="DP55">
        <v>7.3339999999999996</v>
      </c>
      <c r="DQ55">
        <v>-0.499</v>
      </c>
      <c r="DR55">
        <v>9.36</v>
      </c>
      <c r="DS55">
        <v>6.2960000000000003</v>
      </c>
      <c r="DT55">
        <v>8.3940000000000001</v>
      </c>
      <c r="DU55">
        <v>8.9390000000000001</v>
      </c>
      <c r="DV55">
        <v>6.306</v>
      </c>
      <c r="DW55">
        <v>6.2889999999999997</v>
      </c>
      <c r="DX55">
        <v>4</v>
      </c>
      <c r="DY55">
        <v>7.2110000000000003</v>
      </c>
      <c r="DZ55">
        <v>7.3689999999999998</v>
      </c>
      <c r="EA55">
        <v>6.2560000000000002</v>
      </c>
      <c r="EB55">
        <v>7.1580000000000004</v>
      </c>
      <c r="EC55">
        <v>6.81</v>
      </c>
      <c r="ED55">
        <v>5.7190000000000003</v>
      </c>
      <c r="EE55">
        <v>7.0209999999999999</v>
      </c>
      <c r="EF55">
        <v>7.4420000000000002</v>
      </c>
      <c r="EG55">
        <v>3.0659999999999998</v>
      </c>
      <c r="EH55">
        <v>9.3510000000000009</v>
      </c>
      <c r="EI55">
        <v>4.7229999999999999</v>
      </c>
      <c r="EJ55">
        <v>0.19500000000000001</v>
      </c>
      <c r="EK55">
        <v>9.3979999999999997</v>
      </c>
      <c r="EL55">
        <v>0.746</v>
      </c>
      <c r="EM55">
        <v>6.4450000000000003</v>
      </c>
      <c r="EN55">
        <v>6.6559999999999997</v>
      </c>
      <c r="EO55">
        <v>9.2270000000000003</v>
      </c>
      <c r="EP55">
        <v>2.7229999999999999</v>
      </c>
      <c r="EQ55">
        <v>0.50600000000000001</v>
      </c>
      <c r="ER55">
        <v>7.0149999999999997</v>
      </c>
      <c r="ES55">
        <v>7.923</v>
      </c>
      <c r="ET55">
        <v>6.2530000000000001</v>
      </c>
      <c r="EU55">
        <v>7.0759999999999996</v>
      </c>
      <c r="EV55">
        <v>3.5369999999999999</v>
      </c>
      <c r="EW55">
        <v>6.3659999999999997</v>
      </c>
      <c r="EX55">
        <v>6.4409999999999998</v>
      </c>
      <c r="EY55">
        <v>4.9089999999999998</v>
      </c>
      <c r="EZ55">
        <v>5.984</v>
      </c>
      <c r="FA55">
        <v>7.6749999999999998</v>
      </c>
      <c r="FB55">
        <v>7.7050000000000001</v>
      </c>
      <c r="FC55">
        <v>7.2140000000000004</v>
      </c>
      <c r="FD55">
        <v>6.2510000000000003</v>
      </c>
      <c r="FE55">
        <v>5.6239999999999997</v>
      </c>
      <c r="FF55">
        <v>4.5419999999999998</v>
      </c>
      <c r="FG55">
        <v>3.395</v>
      </c>
      <c r="FH55">
        <v>2.5880000000000001</v>
      </c>
      <c r="FI55">
        <v>6.7380000000000004</v>
      </c>
      <c r="FJ55">
        <v>4.9980000000000002</v>
      </c>
      <c r="FK55">
        <v>0.99</v>
      </c>
      <c r="FL55">
        <v>7.7329999999999997</v>
      </c>
      <c r="FM55">
        <v>6.0289999999999999</v>
      </c>
      <c r="FN55">
        <v>6.391</v>
      </c>
      <c r="FO55">
        <v>5.1820000000000004</v>
      </c>
      <c r="FP55">
        <v>6.3209999999999997</v>
      </c>
      <c r="FQ55">
        <v>3.8570000000000002</v>
      </c>
      <c r="FR55">
        <v>8.1080000000000005</v>
      </c>
      <c r="FS55">
        <v>3.3809999999999998</v>
      </c>
      <c r="FT55">
        <v>6.7539999999999996</v>
      </c>
      <c r="FU55">
        <v>8.0510000000000002</v>
      </c>
      <c r="FV55">
        <v>7.2889999999999997</v>
      </c>
      <c r="FW55">
        <v>6.0449999999999999</v>
      </c>
      <c r="FX55">
        <v>0.56499999999999995</v>
      </c>
      <c r="FY55">
        <v>7.524</v>
      </c>
      <c r="FZ55">
        <v>1.3919999999999999</v>
      </c>
      <c r="GA55">
        <v>-1.9319999999999999</v>
      </c>
      <c r="GB55">
        <v>2.1019999999999999</v>
      </c>
      <c r="GC55">
        <v>7.6449999999999996</v>
      </c>
      <c r="GD55">
        <v>3.7989999999999999</v>
      </c>
      <c r="GE55">
        <v>5.4489999999999998</v>
      </c>
      <c r="GF55">
        <v>6.3360000000000003</v>
      </c>
      <c r="GG55">
        <v>4.4669999999999996</v>
      </c>
      <c r="GH55">
        <v>6.1920000000000002</v>
      </c>
      <c r="GI55">
        <v>6.9989999999999997</v>
      </c>
      <c r="GJ55">
        <v>8.5990000000000002</v>
      </c>
      <c r="GK55">
        <v>7.1189999999999998</v>
      </c>
      <c r="GL55">
        <v>1.748</v>
      </c>
      <c r="GM55">
        <v>5.2720000000000002</v>
      </c>
      <c r="GN55">
        <v>8.266</v>
      </c>
      <c r="GO55">
        <v>4.3680000000000003</v>
      </c>
      <c r="GP55">
        <v>6.8470000000000004</v>
      </c>
      <c r="GQ55">
        <v>4.8550000000000004</v>
      </c>
      <c r="GR55">
        <v>2.177</v>
      </c>
      <c r="GS55">
        <v>6.5659999999999998</v>
      </c>
      <c r="GT55">
        <v>6.61</v>
      </c>
      <c r="GU55">
        <v>0.15</v>
      </c>
      <c r="GV55">
        <v>6.069</v>
      </c>
      <c r="GW55">
        <v>9.3079999999999998</v>
      </c>
      <c r="GX55">
        <v>6.9189999999999996</v>
      </c>
      <c r="GY55">
        <v>6.4459999999999997</v>
      </c>
      <c r="GZ55">
        <v>6.6859999999999999</v>
      </c>
      <c r="HA55">
        <v>5.282</v>
      </c>
      <c r="HB55">
        <v>0.76400000000000001</v>
      </c>
      <c r="HC55">
        <v>0.19500000000000001</v>
      </c>
      <c r="HD55">
        <v>6.069</v>
      </c>
      <c r="HE55">
        <v>6.3230000000000004</v>
      </c>
      <c r="HF55">
        <v>1.2529999999999999</v>
      </c>
      <c r="HG55">
        <v>6.6619999999999999</v>
      </c>
      <c r="HH55">
        <v>3.3130000000000002</v>
      </c>
      <c r="HI55">
        <v>4.9119999999999999</v>
      </c>
      <c r="HJ55">
        <v>5.859</v>
      </c>
      <c r="HK55">
        <v>9.2240000000000002</v>
      </c>
      <c r="HL55">
        <v>8.9860000000000007</v>
      </c>
      <c r="HM55">
        <v>1.5649999999999999</v>
      </c>
      <c r="HN55">
        <v>6.851</v>
      </c>
      <c r="HO55">
        <v>1.4910000000000001</v>
      </c>
      <c r="HP55">
        <v>6.5750000000000002</v>
      </c>
      <c r="HQ55">
        <v>5.907</v>
      </c>
      <c r="HR55">
        <v>2.242</v>
      </c>
      <c r="HS55">
        <v>0.63900000000000001</v>
      </c>
      <c r="HT55">
        <v>4.585</v>
      </c>
      <c r="HU55">
        <v>6.5369999999999999</v>
      </c>
      <c r="HV55">
        <v>3.6309999999999998</v>
      </c>
      <c r="HW55">
        <v>6.7640000000000002</v>
      </c>
      <c r="HX55">
        <v>6.2009999999999996</v>
      </c>
      <c r="HY55">
        <v>7.6609999999999996</v>
      </c>
      <c r="HZ55">
        <v>6.3680000000000003</v>
      </c>
      <c r="IA55">
        <v>6.9589999999999996</v>
      </c>
      <c r="IB55">
        <v>6.6289999999999996</v>
      </c>
      <c r="IC55">
        <v>5.0439999999999996</v>
      </c>
      <c r="ID55">
        <v>2.923</v>
      </c>
      <c r="IE55">
        <v>7.6079999999999997</v>
      </c>
      <c r="IF55">
        <v>6.516</v>
      </c>
      <c r="IG55">
        <v>8.0370000000000008</v>
      </c>
      <c r="IH55">
        <v>4.2969999999999997</v>
      </c>
      <c r="II55">
        <v>7.6319999999999997</v>
      </c>
      <c r="IJ55">
        <v>6.7370000000000001</v>
      </c>
      <c r="IK55">
        <v>6.8040000000000003</v>
      </c>
      <c r="IL55">
        <v>7.8659999999999997</v>
      </c>
      <c r="IM55">
        <v>6.6180000000000003</v>
      </c>
      <c r="IN55">
        <v>5.7359999999999998</v>
      </c>
      <c r="IO55">
        <v>5.8460000000000001</v>
      </c>
      <c r="IP55">
        <v>6.3570000000000002</v>
      </c>
      <c r="IQ55">
        <v>0.48399999999999999</v>
      </c>
      <c r="IR55">
        <v>5.1520000000000001</v>
      </c>
      <c r="IS55">
        <v>6.9720000000000004</v>
      </c>
      <c r="IT55">
        <v>6.6319999999999997</v>
      </c>
      <c r="IU55">
        <v>7.5309999999999997</v>
      </c>
      <c r="IV55">
        <v>6.2939999999999996</v>
      </c>
      <c r="IW55">
        <v>2.67</v>
      </c>
      <c r="IX55">
        <v>6.2190000000000003</v>
      </c>
      <c r="IY55">
        <v>6.3390000000000004</v>
      </c>
      <c r="IZ55">
        <v>6.09</v>
      </c>
      <c r="JA55">
        <v>6.5270000000000001</v>
      </c>
      <c r="JB55">
        <v>6.6760000000000002</v>
      </c>
      <c r="JC55">
        <v>6.7640000000000002</v>
      </c>
      <c r="JD55">
        <v>5.7590000000000003</v>
      </c>
      <c r="JE55">
        <v>3.5150000000000001</v>
      </c>
      <c r="JF55">
        <v>7.14</v>
      </c>
      <c r="JG55">
        <v>7.7919999999999998</v>
      </c>
      <c r="JH55">
        <v>6.8109999999999999</v>
      </c>
      <c r="JI55">
        <v>0.249</v>
      </c>
      <c r="JJ55">
        <v>7.0410000000000004</v>
      </c>
      <c r="JK55">
        <v>1.9450000000000001</v>
      </c>
      <c r="JL55">
        <v>6.4710000000000001</v>
      </c>
      <c r="JM55">
        <v>6.95</v>
      </c>
      <c r="JN55">
        <v>6.9029999999999996</v>
      </c>
      <c r="JO55">
        <v>6.4180000000000001</v>
      </c>
      <c r="JP55">
        <v>2.5430000000000001</v>
      </c>
      <c r="JQ55">
        <v>5.7519999999999998</v>
      </c>
      <c r="JR55">
        <v>7.2290000000000001</v>
      </c>
      <c r="JS55">
        <v>7.0010000000000003</v>
      </c>
      <c r="JT55">
        <v>6.2779999999999996</v>
      </c>
      <c r="JU55">
        <v>7.4550000000000001</v>
      </c>
      <c r="JV55">
        <v>6.5229999999999997</v>
      </c>
      <c r="JW55">
        <v>7.1769999999999996</v>
      </c>
      <c r="JX55">
        <v>6.0010000000000003</v>
      </c>
      <c r="JY55">
        <v>2.4279999999999999</v>
      </c>
      <c r="JZ55">
        <v>1.7669999999999999</v>
      </c>
      <c r="KA55">
        <v>5.38</v>
      </c>
      <c r="KB55">
        <v>7.0359999999999996</v>
      </c>
      <c r="KC55">
        <v>6.66</v>
      </c>
      <c r="KD55">
        <v>7.66</v>
      </c>
      <c r="KE55">
        <v>2.7930000000000001</v>
      </c>
      <c r="KF55">
        <v>1.4490000000000001</v>
      </c>
      <c r="KG55">
        <v>8.8640000000000008</v>
      </c>
      <c r="KH55">
        <v>6.827</v>
      </c>
      <c r="KI55">
        <v>6.8029999999999999</v>
      </c>
      <c r="KJ55">
        <v>6.5869999999999997</v>
      </c>
      <c r="KK55">
        <v>8.2780000000000005</v>
      </c>
      <c r="KL55">
        <v>2.4689999999999999</v>
      </c>
      <c r="KM55">
        <v>1.927</v>
      </c>
      <c r="KN55">
        <v>5.8639999999999999</v>
      </c>
      <c r="KO55">
        <v>4.5439999999999996</v>
      </c>
      <c r="KP55">
        <v>3.2519999999999998</v>
      </c>
      <c r="KQ55">
        <v>1.0129999999999999</v>
      </c>
      <c r="KR55">
        <v>0.88200000000000001</v>
      </c>
    </row>
    <row r="56" spans="1:304" x14ac:dyDescent="0.25">
      <c r="A56">
        <v>2018</v>
      </c>
      <c r="B56">
        <v>5</v>
      </c>
      <c r="C56">
        <v>5.5220000000000002</v>
      </c>
      <c r="D56">
        <v>15.471</v>
      </c>
      <c r="E56">
        <v>16.036000000000001</v>
      </c>
      <c r="F56">
        <v>15.698</v>
      </c>
      <c r="G56">
        <v>15.288</v>
      </c>
      <c r="H56">
        <v>15.849</v>
      </c>
      <c r="I56">
        <v>8.2509999999999994</v>
      </c>
      <c r="J56">
        <v>9.9359999999999999</v>
      </c>
      <c r="K56">
        <v>15.112</v>
      </c>
      <c r="L56">
        <v>15.398999999999999</v>
      </c>
      <c r="M56">
        <v>15.053000000000001</v>
      </c>
      <c r="N56">
        <v>15.351000000000001</v>
      </c>
      <c r="O56">
        <v>12.048</v>
      </c>
      <c r="P56">
        <v>16.16</v>
      </c>
      <c r="Q56">
        <v>11.377000000000001</v>
      </c>
      <c r="R56">
        <v>15.731999999999999</v>
      </c>
      <c r="S56">
        <v>14.528</v>
      </c>
      <c r="T56">
        <v>14.208</v>
      </c>
      <c r="U56">
        <v>15.042999999999999</v>
      </c>
      <c r="V56">
        <v>15.538</v>
      </c>
      <c r="W56">
        <v>14.744</v>
      </c>
      <c r="X56">
        <v>15.266</v>
      </c>
      <c r="Y56">
        <v>14.786</v>
      </c>
      <c r="Z56">
        <v>12.428000000000001</v>
      </c>
      <c r="AA56">
        <v>16.122</v>
      </c>
      <c r="AB56">
        <v>15.736000000000001</v>
      </c>
      <c r="AC56">
        <v>14.888</v>
      </c>
      <c r="AD56">
        <v>15.205</v>
      </c>
      <c r="AE56">
        <v>15.318</v>
      </c>
      <c r="AF56">
        <v>15.414</v>
      </c>
      <c r="AG56">
        <v>13.358000000000001</v>
      </c>
      <c r="AH56">
        <v>11.253</v>
      </c>
      <c r="AI56">
        <v>14.069000000000001</v>
      </c>
      <c r="AJ56">
        <v>15.132999999999999</v>
      </c>
      <c r="AK56">
        <v>14.993</v>
      </c>
      <c r="AL56">
        <v>15.381</v>
      </c>
      <c r="AM56">
        <v>15.542999999999999</v>
      </c>
      <c r="AN56">
        <v>15.866</v>
      </c>
      <c r="AO56">
        <v>15.816000000000001</v>
      </c>
      <c r="AP56">
        <v>15.135999999999999</v>
      </c>
      <c r="AQ56">
        <v>15.893000000000001</v>
      </c>
      <c r="AR56">
        <v>15.535</v>
      </c>
      <c r="AS56">
        <v>13.824</v>
      </c>
      <c r="AT56">
        <v>15.12</v>
      </c>
      <c r="AU56">
        <v>14.749000000000001</v>
      </c>
      <c r="AV56">
        <v>14.725</v>
      </c>
      <c r="AW56">
        <v>14.903</v>
      </c>
      <c r="AX56">
        <v>15.077999999999999</v>
      </c>
      <c r="AY56">
        <v>15.709</v>
      </c>
      <c r="AZ56">
        <v>11.737</v>
      </c>
      <c r="BA56">
        <v>15.378</v>
      </c>
      <c r="BB56">
        <v>11.728</v>
      </c>
      <c r="BC56">
        <v>14.836</v>
      </c>
      <c r="BD56">
        <v>15.535</v>
      </c>
      <c r="BE56">
        <v>14.541</v>
      </c>
      <c r="BF56">
        <v>15.624000000000001</v>
      </c>
      <c r="BG56">
        <v>10.942</v>
      </c>
      <c r="BH56">
        <v>8.8170000000000002</v>
      </c>
      <c r="BI56">
        <v>14.339</v>
      </c>
      <c r="BJ56">
        <v>16.373000000000001</v>
      </c>
      <c r="BK56">
        <v>15.787000000000001</v>
      </c>
      <c r="BL56">
        <v>15.564</v>
      </c>
      <c r="BM56">
        <v>15.065</v>
      </c>
      <c r="BN56">
        <v>15.505000000000001</v>
      </c>
      <c r="BO56">
        <v>15.601000000000001</v>
      </c>
      <c r="BP56">
        <v>16.225999999999999</v>
      </c>
      <c r="BQ56">
        <v>12.694000000000001</v>
      </c>
      <c r="BR56">
        <v>13.272</v>
      </c>
      <c r="BS56">
        <v>13.78</v>
      </c>
      <c r="BT56">
        <v>9.5039999999999996</v>
      </c>
      <c r="BU56">
        <v>12.351000000000001</v>
      </c>
      <c r="BV56">
        <v>15.002000000000001</v>
      </c>
      <c r="BW56">
        <v>15.971</v>
      </c>
      <c r="BX56">
        <v>7.7220000000000004</v>
      </c>
      <c r="BY56">
        <v>14.433</v>
      </c>
      <c r="BZ56">
        <v>15.875999999999999</v>
      </c>
      <c r="CA56">
        <v>13.364000000000001</v>
      </c>
      <c r="CB56">
        <v>14.656000000000001</v>
      </c>
      <c r="CC56">
        <v>15.659000000000001</v>
      </c>
      <c r="CD56">
        <v>14.785</v>
      </c>
      <c r="CE56">
        <v>12.952999999999999</v>
      </c>
      <c r="CF56">
        <v>14.866</v>
      </c>
      <c r="CG56">
        <v>15.311</v>
      </c>
      <c r="CH56">
        <v>14.837</v>
      </c>
      <c r="CI56">
        <v>11.353</v>
      </c>
      <c r="CJ56">
        <v>16.367000000000001</v>
      </c>
      <c r="CK56">
        <v>14.771000000000001</v>
      </c>
      <c r="CL56">
        <v>15.367000000000001</v>
      </c>
      <c r="CM56">
        <v>15.214</v>
      </c>
      <c r="CN56">
        <v>15.19</v>
      </c>
      <c r="CO56">
        <v>15.287000000000001</v>
      </c>
      <c r="CP56">
        <v>9.7669999999999995</v>
      </c>
      <c r="CQ56">
        <v>12.471</v>
      </c>
      <c r="CR56">
        <v>15.754</v>
      </c>
      <c r="CS56">
        <v>15.151999999999999</v>
      </c>
      <c r="CT56">
        <v>9.6280000000000001</v>
      </c>
      <c r="CU56">
        <v>14.423</v>
      </c>
      <c r="CV56">
        <v>7.6539999999999999</v>
      </c>
      <c r="CW56">
        <v>13.651</v>
      </c>
      <c r="CX56">
        <v>14.494999999999999</v>
      </c>
      <c r="CY56">
        <v>15.164999999999999</v>
      </c>
      <c r="CZ56">
        <v>14.815</v>
      </c>
      <c r="DA56">
        <v>14.45</v>
      </c>
      <c r="DB56">
        <v>15.247999999999999</v>
      </c>
      <c r="DC56">
        <v>15.577999999999999</v>
      </c>
      <c r="DD56">
        <v>16.157</v>
      </c>
      <c r="DE56">
        <v>7.8280000000000003</v>
      </c>
      <c r="DF56">
        <v>14.696999999999999</v>
      </c>
      <c r="DG56">
        <v>15.627000000000001</v>
      </c>
      <c r="DH56">
        <v>15.342000000000001</v>
      </c>
      <c r="DI56">
        <v>14.891</v>
      </c>
      <c r="DJ56">
        <v>12.401</v>
      </c>
      <c r="DK56">
        <v>15.042</v>
      </c>
      <c r="DL56">
        <v>14.922000000000001</v>
      </c>
      <c r="DM56">
        <v>15.553000000000001</v>
      </c>
      <c r="DN56">
        <v>16.291</v>
      </c>
      <c r="DO56">
        <v>15.743</v>
      </c>
      <c r="DP56">
        <v>16.131</v>
      </c>
      <c r="DQ56">
        <v>7.4649999999999999</v>
      </c>
      <c r="DR56">
        <v>16.088000000000001</v>
      </c>
      <c r="DS56">
        <v>15.698</v>
      </c>
      <c r="DT56">
        <v>15.920999999999999</v>
      </c>
      <c r="DU56">
        <v>15.646000000000001</v>
      </c>
      <c r="DV56">
        <v>15.73</v>
      </c>
      <c r="DW56">
        <v>15.446999999999999</v>
      </c>
      <c r="DX56">
        <v>14.88</v>
      </c>
      <c r="DY56">
        <v>15.983000000000001</v>
      </c>
      <c r="DZ56">
        <v>14.991</v>
      </c>
      <c r="EA56">
        <v>15.06</v>
      </c>
      <c r="EB56">
        <v>15.718999999999999</v>
      </c>
      <c r="EC56">
        <v>15.728</v>
      </c>
      <c r="ED56">
        <v>15.42</v>
      </c>
      <c r="EE56">
        <v>15.5</v>
      </c>
      <c r="EF56">
        <v>15.122999999999999</v>
      </c>
      <c r="EG56">
        <v>14.039</v>
      </c>
      <c r="EH56">
        <v>16.085999999999999</v>
      </c>
      <c r="EI56">
        <v>15.053000000000001</v>
      </c>
      <c r="EJ56">
        <v>9.4499999999999993</v>
      </c>
      <c r="EK56">
        <v>16.09</v>
      </c>
      <c r="EL56">
        <v>11.634</v>
      </c>
      <c r="EM56">
        <v>15.606999999999999</v>
      </c>
      <c r="EN56">
        <v>15.179</v>
      </c>
      <c r="EO56">
        <v>16.074000000000002</v>
      </c>
      <c r="EP56">
        <v>13.766</v>
      </c>
      <c r="EQ56">
        <v>10.428000000000001</v>
      </c>
      <c r="ER56">
        <v>15.505000000000001</v>
      </c>
      <c r="ES56">
        <v>15.209</v>
      </c>
      <c r="ET56">
        <v>14.412000000000001</v>
      </c>
      <c r="EU56">
        <v>15.631</v>
      </c>
      <c r="EV56">
        <v>14.765000000000001</v>
      </c>
      <c r="EW56">
        <v>15.064</v>
      </c>
      <c r="EX56">
        <v>15.759</v>
      </c>
      <c r="EY56">
        <v>14.962</v>
      </c>
      <c r="EZ56">
        <v>15.406000000000001</v>
      </c>
      <c r="FA56">
        <v>16.420000000000002</v>
      </c>
      <c r="FB56">
        <v>14.414999999999999</v>
      </c>
      <c r="FC56">
        <v>14.082000000000001</v>
      </c>
      <c r="FD56">
        <v>15.057</v>
      </c>
      <c r="FE56">
        <v>15.18</v>
      </c>
      <c r="FF56">
        <v>14.914999999999999</v>
      </c>
      <c r="FG56">
        <v>12.987</v>
      </c>
      <c r="FH56">
        <v>11.173</v>
      </c>
      <c r="FI56">
        <v>14.925000000000001</v>
      </c>
      <c r="FJ56">
        <v>13.641999999999999</v>
      </c>
      <c r="FK56">
        <v>11.182</v>
      </c>
      <c r="FL56">
        <v>15.061</v>
      </c>
      <c r="FM56">
        <v>14.922000000000001</v>
      </c>
      <c r="FN56">
        <v>14.45</v>
      </c>
      <c r="FO56">
        <v>12.574</v>
      </c>
      <c r="FP56">
        <v>15.101000000000001</v>
      </c>
      <c r="FQ56">
        <v>14.214</v>
      </c>
      <c r="FR56">
        <v>15.222</v>
      </c>
      <c r="FS56">
        <v>14.582000000000001</v>
      </c>
      <c r="FT56">
        <v>16.073</v>
      </c>
      <c r="FU56">
        <v>15.124000000000001</v>
      </c>
      <c r="FV56">
        <v>14.198</v>
      </c>
      <c r="FW56">
        <v>13.331</v>
      </c>
      <c r="FX56">
        <v>10.316000000000001</v>
      </c>
      <c r="FY56">
        <v>16.303000000000001</v>
      </c>
      <c r="FZ56">
        <v>11.125999999999999</v>
      </c>
      <c r="GA56">
        <v>5.9039999999999999</v>
      </c>
      <c r="GB56">
        <v>11.675000000000001</v>
      </c>
      <c r="GC56">
        <v>14.71</v>
      </c>
      <c r="GD56">
        <v>14.648999999999999</v>
      </c>
      <c r="GE56">
        <v>15.250999999999999</v>
      </c>
      <c r="GF56">
        <v>15.369</v>
      </c>
      <c r="GG56">
        <v>15.03</v>
      </c>
      <c r="GH56">
        <v>15.446999999999999</v>
      </c>
      <c r="GI56">
        <v>12.817</v>
      </c>
      <c r="GJ56">
        <v>15.164999999999999</v>
      </c>
      <c r="GK56">
        <v>16.013999999999999</v>
      </c>
      <c r="GL56">
        <v>12.49</v>
      </c>
      <c r="GM56">
        <v>15.195</v>
      </c>
      <c r="GN56">
        <v>15.143000000000001</v>
      </c>
      <c r="GO56">
        <v>13.957000000000001</v>
      </c>
      <c r="GP56">
        <v>15.694000000000001</v>
      </c>
      <c r="GQ56">
        <v>15.16</v>
      </c>
      <c r="GR56">
        <v>12.821999999999999</v>
      </c>
      <c r="GS56">
        <v>15.558999999999999</v>
      </c>
      <c r="GT56">
        <v>15.593999999999999</v>
      </c>
      <c r="GU56">
        <v>10.026</v>
      </c>
      <c r="GV56">
        <v>14.977</v>
      </c>
      <c r="GW56">
        <v>16.003</v>
      </c>
      <c r="GX56">
        <v>16.004999999999999</v>
      </c>
      <c r="GY56">
        <v>15.33</v>
      </c>
      <c r="GZ56">
        <v>15.738</v>
      </c>
      <c r="HA56">
        <v>15.272</v>
      </c>
      <c r="HB56">
        <v>10.318</v>
      </c>
      <c r="HC56">
        <v>9.9809999999999999</v>
      </c>
      <c r="HD56">
        <v>15.348000000000001</v>
      </c>
      <c r="HE56">
        <v>15.666</v>
      </c>
      <c r="HF56">
        <v>11.38</v>
      </c>
      <c r="HG56">
        <v>15.688000000000001</v>
      </c>
      <c r="HH56">
        <v>12.564</v>
      </c>
      <c r="HI56">
        <v>14.824</v>
      </c>
      <c r="HJ56">
        <v>15.417999999999999</v>
      </c>
      <c r="HK56">
        <v>15.978999999999999</v>
      </c>
      <c r="HL56">
        <v>15.992000000000001</v>
      </c>
      <c r="HM56">
        <v>13.193</v>
      </c>
      <c r="HN56">
        <v>15.518000000000001</v>
      </c>
      <c r="HO56">
        <v>12.321</v>
      </c>
      <c r="HP56">
        <v>14.988</v>
      </c>
      <c r="HQ56">
        <v>14.728</v>
      </c>
      <c r="HR56">
        <v>13.061999999999999</v>
      </c>
      <c r="HS56">
        <v>12.345000000000001</v>
      </c>
      <c r="HT56">
        <v>15.032</v>
      </c>
      <c r="HU56">
        <v>15.013999999999999</v>
      </c>
      <c r="HV56">
        <v>12.954000000000001</v>
      </c>
      <c r="HW56">
        <v>14.865</v>
      </c>
      <c r="HX56">
        <v>15.125999999999999</v>
      </c>
      <c r="HY56">
        <v>14.097</v>
      </c>
      <c r="HZ56">
        <v>15.879</v>
      </c>
      <c r="IA56">
        <v>15.654999999999999</v>
      </c>
      <c r="IB56">
        <v>15.679</v>
      </c>
      <c r="IC56">
        <v>15.095000000000001</v>
      </c>
      <c r="ID56">
        <v>12.298</v>
      </c>
      <c r="IE56">
        <v>15.145</v>
      </c>
      <c r="IF56">
        <v>15.253</v>
      </c>
      <c r="IG56">
        <v>14.65</v>
      </c>
      <c r="IH56">
        <v>15.034000000000001</v>
      </c>
      <c r="II56">
        <v>14.475</v>
      </c>
      <c r="IJ56">
        <v>15.513</v>
      </c>
      <c r="IK56">
        <v>15.699</v>
      </c>
      <c r="IL56">
        <v>14.618</v>
      </c>
      <c r="IM56">
        <v>15.574</v>
      </c>
      <c r="IN56">
        <v>13.661</v>
      </c>
      <c r="IO56">
        <v>14.375999999999999</v>
      </c>
      <c r="IP56">
        <v>15.202999999999999</v>
      </c>
      <c r="IQ56">
        <v>11.36</v>
      </c>
      <c r="IR56">
        <v>15.217000000000001</v>
      </c>
      <c r="IS56">
        <v>16.068000000000001</v>
      </c>
      <c r="IT56">
        <v>15.856</v>
      </c>
      <c r="IU56">
        <v>15.627000000000001</v>
      </c>
      <c r="IV56">
        <v>15.34</v>
      </c>
      <c r="IW56">
        <v>11.635999999999999</v>
      </c>
      <c r="IX56">
        <v>15.574999999999999</v>
      </c>
      <c r="IY56">
        <v>15.365</v>
      </c>
      <c r="IZ56">
        <v>15.51</v>
      </c>
      <c r="JA56">
        <v>14.567</v>
      </c>
      <c r="JB56">
        <v>15.371</v>
      </c>
      <c r="JC56">
        <v>14.385</v>
      </c>
      <c r="JD56">
        <v>14.529</v>
      </c>
      <c r="JE56">
        <v>14.714</v>
      </c>
      <c r="JF56">
        <v>15.914</v>
      </c>
      <c r="JG56">
        <v>15.787000000000001</v>
      </c>
      <c r="JH56">
        <v>15.013999999999999</v>
      </c>
      <c r="JI56">
        <v>10.535</v>
      </c>
      <c r="JJ56">
        <v>14.818</v>
      </c>
      <c r="JK56">
        <v>11.965</v>
      </c>
      <c r="JL56">
        <v>15.448</v>
      </c>
      <c r="JM56">
        <v>14.106</v>
      </c>
      <c r="JN56">
        <v>15.741</v>
      </c>
      <c r="JO56">
        <v>15.367000000000001</v>
      </c>
      <c r="JP56">
        <v>12.023999999999999</v>
      </c>
      <c r="JQ56">
        <v>14.381</v>
      </c>
      <c r="JR56">
        <v>15.587999999999999</v>
      </c>
      <c r="JS56">
        <v>13.717000000000001</v>
      </c>
      <c r="JT56">
        <v>15.728</v>
      </c>
      <c r="JU56">
        <v>15.465</v>
      </c>
      <c r="JV56">
        <v>14.961</v>
      </c>
      <c r="JW56">
        <v>13.831</v>
      </c>
      <c r="JX56">
        <v>14.603</v>
      </c>
      <c r="JY56">
        <v>13.148</v>
      </c>
      <c r="JZ56">
        <v>11.31</v>
      </c>
      <c r="KA56">
        <v>14.736000000000001</v>
      </c>
      <c r="KB56">
        <v>14.818</v>
      </c>
      <c r="KC56">
        <v>14.811999999999999</v>
      </c>
      <c r="KD56">
        <v>15.115</v>
      </c>
      <c r="KE56">
        <v>13.887</v>
      </c>
      <c r="KF56">
        <v>11.536</v>
      </c>
      <c r="KG56">
        <v>16.033999999999999</v>
      </c>
      <c r="KH56">
        <v>15.21</v>
      </c>
      <c r="KI56">
        <v>14.638</v>
      </c>
      <c r="KJ56">
        <v>15.701000000000001</v>
      </c>
      <c r="KK56">
        <v>15.256</v>
      </c>
      <c r="KL56">
        <v>11.675000000000001</v>
      </c>
      <c r="KM56">
        <v>12.356</v>
      </c>
      <c r="KN56">
        <v>14.605</v>
      </c>
      <c r="KO56">
        <v>13.821999999999999</v>
      </c>
      <c r="KP56">
        <v>14.326000000000001</v>
      </c>
      <c r="KQ56">
        <v>11.090999999999999</v>
      </c>
      <c r="KR56">
        <v>11.218</v>
      </c>
    </row>
    <row r="57" spans="1:304" x14ac:dyDescent="0.25">
      <c r="A57">
        <v>2018</v>
      </c>
      <c r="B57">
        <v>6</v>
      </c>
      <c r="C57">
        <v>5.9669999999999996</v>
      </c>
      <c r="D57">
        <v>16.853999999999999</v>
      </c>
      <c r="E57">
        <v>16.960999999999999</v>
      </c>
      <c r="F57">
        <v>16.457000000000001</v>
      </c>
      <c r="G57">
        <v>16.623000000000001</v>
      </c>
      <c r="H57">
        <v>17.148</v>
      </c>
      <c r="I57">
        <v>9.3149999999999995</v>
      </c>
      <c r="J57">
        <v>10.098000000000001</v>
      </c>
      <c r="K57">
        <v>16.745000000000001</v>
      </c>
      <c r="L57">
        <v>16.515000000000001</v>
      </c>
      <c r="M57">
        <v>15.829000000000001</v>
      </c>
      <c r="N57">
        <v>16.838999999999999</v>
      </c>
      <c r="O57">
        <v>12.706</v>
      </c>
      <c r="P57">
        <v>17.978000000000002</v>
      </c>
      <c r="Q57">
        <v>12.372999999999999</v>
      </c>
      <c r="R57">
        <v>16.297000000000001</v>
      </c>
      <c r="S57">
        <v>15.106999999999999</v>
      </c>
      <c r="T57">
        <v>17.414000000000001</v>
      </c>
      <c r="U57">
        <v>15.337999999999999</v>
      </c>
      <c r="V57">
        <v>15.997</v>
      </c>
      <c r="W57">
        <v>16.222000000000001</v>
      </c>
      <c r="X57">
        <v>17.204000000000001</v>
      </c>
      <c r="Y57">
        <v>17.253</v>
      </c>
      <c r="Z57">
        <v>12.358000000000001</v>
      </c>
      <c r="AA57">
        <v>18.29</v>
      </c>
      <c r="AB57">
        <v>17.46</v>
      </c>
      <c r="AC57">
        <v>16.509</v>
      </c>
      <c r="AD57">
        <v>16.606000000000002</v>
      </c>
      <c r="AE57">
        <v>16.728999999999999</v>
      </c>
      <c r="AF57">
        <v>16.369</v>
      </c>
      <c r="AG57">
        <v>14.593999999999999</v>
      </c>
      <c r="AH57">
        <v>11.241</v>
      </c>
      <c r="AI57">
        <v>14.242000000000001</v>
      </c>
      <c r="AJ57">
        <v>16.231999999999999</v>
      </c>
      <c r="AK57">
        <v>16.779</v>
      </c>
      <c r="AL57">
        <v>16.382000000000001</v>
      </c>
      <c r="AM57">
        <v>16.925000000000001</v>
      </c>
      <c r="AN57">
        <v>17.795000000000002</v>
      </c>
      <c r="AO57">
        <v>16.724</v>
      </c>
      <c r="AP57">
        <v>15.949</v>
      </c>
      <c r="AQ57">
        <v>17.215</v>
      </c>
      <c r="AR57">
        <v>15.961</v>
      </c>
      <c r="AS57">
        <v>17.222999999999999</v>
      </c>
      <c r="AT57">
        <v>15.478</v>
      </c>
      <c r="AU57">
        <v>15.839</v>
      </c>
      <c r="AV57">
        <v>15.321999999999999</v>
      </c>
      <c r="AW57">
        <v>16.733000000000001</v>
      </c>
      <c r="AX57">
        <v>16.742000000000001</v>
      </c>
      <c r="AY57">
        <v>16.821999999999999</v>
      </c>
      <c r="AZ57">
        <v>11.629</v>
      </c>
      <c r="BA57">
        <v>16.675000000000001</v>
      </c>
      <c r="BB57">
        <v>10.877000000000001</v>
      </c>
      <c r="BC57">
        <v>14.821</v>
      </c>
      <c r="BD57">
        <v>16.422999999999998</v>
      </c>
      <c r="BE57">
        <v>16.241</v>
      </c>
      <c r="BF57">
        <v>16.815000000000001</v>
      </c>
      <c r="BG57">
        <v>10.589</v>
      </c>
      <c r="BH57">
        <v>9.4480000000000004</v>
      </c>
      <c r="BI57">
        <v>15.244</v>
      </c>
      <c r="BJ57">
        <v>17.402000000000001</v>
      </c>
      <c r="BK57">
        <v>16.736999999999998</v>
      </c>
      <c r="BL57">
        <v>16.670999999999999</v>
      </c>
      <c r="BM57">
        <v>15.832000000000001</v>
      </c>
      <c r="BN57">
        <v>16.582000000000001</v>
      </c>
      <c r="BO57">
        <v>16.652000000000001</v>
      </c>
      <c r="BP57">
        <v>17.556999999999999</v>
      </c>
      <c r="BQ57">
        <v>12.741</v>
      </c>
      <c r="BR57">
        <v>15.574</v>
      </c>
      <c r="BS57">
        <v>15.680999999999999</v>
      </c>
      <c r="BT57">
        <v>11.691000000000001</v>
      </c>
      <c r="BU57">
        <v>11.882</v>
      </c>
      <c r="BV57">
        <v>15.602</v>
      </c>
      <c r="BW57">
        <v>17.937999999999999</v>
      </c>
      <c r="BX57">
        <v>6.9329999999999998</v>
      </c>
      <c r="BY57">
        <v>16.343</v>
      </c>
      <c r="BZ57">
        <v>16.315000000000001</v>
      </c>
      <c r="CA57">
        <v>15.327999999999999</v>
      </c>
      <c r="CB57">
        <v>15.021000000000001</v>
      </c>
      <c r="CC57">
        <v>16.641999999999999</v>
      </c>
      <c r="CD57">
        <v>16.25</v>
      </c>
      <c r="CE57">
        <v>15.081</v>
      </c>
      <c r="CF57">
        <v>16.855</v>
      </c>
      <c r="CG57">
        <v>16.437999999999999</v>
      </c>
      <c r="CH57">
        <v>15.798999999999999</v>
      </c>
      <c r="CI57">
        <v>13.875999999999999</v>
      </c>
      <c r="CJ57">
        <v>17.106999999999999</v>
      </c>
      <c r="CK57">
        <v>16.994</v>
      </c>
      <c r="CL57">
        <v>17.465</v>
      </c>
      <c r="CM57">
        <v>17.43</v>
      </c>
      <c r="CN57">
        <v>17.388000000000002</v>
      </c>
      <c r="CO57">
        <v>17.425999999999998</v>
      </c>
      <c r="CP57">
        <v>10.635999999999999</v>
      </c>
      <c r="CQ57">
        <v>12.792</v>
      </c>
      <c r="CR57">
        <v>16.966999999999999</v>
      </c>
      <c r="CS57">
        <v>16.366</v>
      </c>
      <c r="CT57">
        <v>11.808999999999999</v>
      </c>
      <c r="CU57">
        <v>17.193999999999999</v>
      </c>
      <c r="CV57">
        <v>8.77</v>
      </c>
      <c r="CW57">
        <v>15.959</v>
      </c>
      <c r="CX57">
        <v>16.806999999999999</v>
      </c>
      <c r="CY57">
        <v>16.152000000000001</v>
      </c>
      <c r="CZ57">
        <v>17.260999999999999</v>
      </c>
      <c r="DA57">
        <v>16.125</v>
      </c>
      <c r="DB57">
        <v>16.998000000000001</v>
      </c>
      <c r="DC57">
        <v>16.779</v>
      </c>
      <c r="DD57">
        <v>16.733000000000001</v>
      </c>
      <c r="DE57">
        <v>8.3650000000000002</v>
      </c>
      <c r="DF57">
        <v>16.661000000000001</v>
      </c>
      <c r="DG57">
        <v>17.529</v>
      </c>
      <c r="DH57">
        <v>16.285</v>
      </c>
      <c r="DI57">
        <v>15.473000000000001</v>
      </c>
      <c r="DJ57">
        <v>14.188000000000001</v>
      </c>
      <c r="DK57">
        <v>17.576000000000001</v>
      </c>
      <c r="DL57">
        <v>16.003</v>
      </c>
      <c r="DM57">
        <v>16.623000000000001</v>
      </c>
      <c r="DN57">
        <v>17.346</v>
      </c>
      <c r="DO57">
        <v>17.018000000000001</v>
      </c>
      <c r="DP57">
        <v>17.059000000000001</v>
      </c>
      <c r="DQ57">
        <v>8.4109999999999996</v>
      </c>
      <c r="DR57">
        <v>18.114999999999998</v>
      </c>
      <c r="DS57">
        <v>16.855</v>
      </c>
      <c r="DT57">
        <v>17.59</v>
      </c>
      <c r="DU57">
        <v>17.882999999999999</v>
      </c>
      <c r="DV57">
        <v>16.667000000000002</v>
      </c>
      <c r="DW57">
        <v>16.509</v>
      </c>
      <c r="DX57">
        <v>14.819000000000001</v>
      </c>
      <c r="DY57">
        <v>16.669</v>
      </c>
      <c r="DZ57">
        <v>16.664999999999999</v>
      </c>
      <c r="EA57">
        <v>16.568999999999999</v>
      </c>
      <c r="EB57">
        <v>16.852</v>
      </c>
      <c r="EC57">
        <v>16.847999999999999</v>
      </c>
      <c r="ED57">
        <v>16.353999999999999</v>
      </c>
      <c r="EE57">
        <v>17.218</v>
      </c>
      <c r="EF57">
        <v>16.635000000000002</v>
      </c>
      <c r="EG57">
        <v>14.523999999999999</v>
      </c>
      <c r="EH57">
        <v>18.271999999999998</v>
      </c>
      <c r="EI57">
        <v>15.528</v>
      </c>
      <c r="EJ57">
        <v>12.183999999999999</v>
      </c>
      <c r="EK57">
        <v>18.131</v>
      </c>
      <c r="EL57">
        <v>11.778</v>
      </c>
      <c r="EM57">
        <v>16.736999999999998</v>
      </c>
      <c r="EN57">
        <v>16.555</v>
      </c>
      <c r="EO57">
        <v>18.268999999999998</v>
      </c>
      <c r="EP57">
        <v>14.186</v>
      </c>
      <c r="EQ57">
        <v>10.618</v>
      </c>
      <c r="ER57">
        <v>16.603000000000002</v>
      </c>
      <c r="ES57">
        <v>17.018000000000001</v>
      </c>
      <c r="ET57">
        <v>16.43</v>
      </c>
      <c r="EU57">
        <v>16.843</v>
      </c>
      <c r="EV57">
        <v>14.945</v>
      </c>
      <c r="EW57">
        <v>16.597000000000001</v>
      </c>
      <c r="EX57">
        <v>16.803000000000001</v>
      </c>
      <c r="EY57">
        <v>16.015999999999998</v>
      </c>
      <c r="EZ57">
        <v>16.285</v>
      </c>
      <c r="FA57">
        <v>17.286999999999999</v>
      </c>
      <c r="FB57">
        <v>17.497</v>
      </c>
      <c r="FC57">
        <v>16.981000000000002</v>
      </c>
      <c r="FD57">
        <v>16.553000000000001</v>
      </c>
      <c r="FE57">
        <v>16.245000000000001</v>
      </c>
      <c r="FF57">
        <v>15.321999999999999</v>
      </c>
      <c r="FG57">
        <v>14.552</v>
      </c>
      <c r="FH57">
        <v>13.529</v>
      </c>
      <c r="FI57">
        <v>17.135999999999999</v>
      </c>
      <c r="FJ57">
        <v>15.523999999999999</v>
      </c>
      <c r="FK57">
        <v>11.247999999999999</v>
      </c>
      <c r="FL57">
        <v>17.186</v>
      </c>
      <c r="FM57">
        <v>16.402999999999999</v>
      </c>
      <c r="FN57">
        <v>16.734999999999999</v>
      </c>
      <c r="FO57">
        <v>15.186</v>
      </c>
      <c r="FP57">
        <v>15.945</v>
      </c>
      <c r="FQ57">
        <v>14.846</v>
      </c>
      <c r="FR57">
        <v>16.989999999999998</v>
      </c>
      <c r="FS57">
        <v>14.593</v>
      </c>
      <c r="FT57">
        <v>16.977</v>
      </c>
      <c r="FU57">
        <v>16.917999999999999</v>
      </c>
      <c r="FV57">
        <v>17.206</v>
      </c>
      <c r="FW57">
        <v>16.329000000000001</v>
      </c>
      <c r="FX57">
        <v>10.721</v>
      </c>
      <c r="FY57">
        <v>17.042999999999999</v>
      </c>
      <c r="FZ57">
        <v>12.96</v>
      </c>
      <c r="GA57">
        <v>5.819</v>
      </c>
      <c r="GB57">
        <v>13.021000000000001</v>
      </c>
      <c r="GC57">
        <v>16.922000000000001</v>
      </c>
      <c r="GD57">
        <v>14.664</v>
      </c>
      <c r="GE57">
        <v>16.056999999999999</v>
      </c>
      <c r="GF57">
        <v>16.655000000000001</v>
      </c>
      <c r="GG57">
        <v>15.472</v>
      </c>
      <c r="GH57">
        <v>16.478000000000002</v>
      </c>
      <c r="GI57">
        <v>16.920999999999999</v>
      </c>
      <c r="GJ57">
        <v>17.466999999999999</v>
      </c>
      <c r="GK57">
        <v>16.539000000000001</v>
      </c>
      <c r="GL57">
        <v>13.237</v>
      </c>
      <c r="GM57">
        <v>15.981999999999999</v>
      </c>
      <c r="GN57">
        <v>17.581</v>
      </c>
      <c r="GO57">
        <v>15.032</v>
      </c>
      <c r="GP57">
        <v>16.54</v>
      </c>
      <c r="GQ57">
        <v>15.694000000000001</v>
      </c>
      <c r="GR57">
        <v>13.624000000000001</v>
      </c>
      <c r="GS57">
        <v>16.817</v>
      </c>
      <c r="GT57">
        <v>16.908999999999999</v>
      </c>
      <c r="GU57">
        <v>10.250999999999999</v>
      </c>
      <c r="GV57">
        <v>16.494</v>
      </c>
      <c r="GW57">
        <v>18.071999999999999</v>
      </c>
      <c r="GX57">
        <v>16.925000000000001</v>
      </c>
      <c r="GY57">
        <v>16.696999999999999</v>
      </c>
      <c r="GZ57">
        <v>16.991</v>
      </c>
      <c r="HA57">
        <v>16.196999999999999</v>
      </c>
      <c r="HB57">
        <v>8.5079999999999991</v>
      </c>
      <c r="HC57">
        <v>10.098000000000001</v>
      </c>
      <c r="HD57">
        <v>16.747</v>
      </c>
      <c r="HE57">
        <v>17.099</v>
      </c>
      <c r="HF57">
        <v>11.422000000000001</v>
      </c>
      <c r="HG57">
        <v>16.954999999999998</v>
      </c>
      <c r="HH57">
        <v>14.66</v>
      </c>
      <c r="HI57">
        <v>16.157</v>
      </c>
      <c r="HJ57">
        <v>16.454999999999998</v>
      </c>
      <c r="HK57">
        <v>17.863</v>
      </c>
      <c r="HL57">
        <v>18.114000000000001</v>
      </c>
      <c r="HM57">
        <v>12.829000000000001</v>
      </c>
      <c r="HN57">
        <v>16.131</v>
      </c>
      <c r="HO57">
        <v>12.08</v>
      </c>
      <c r="HP57">
        <v>16.632000000000001</v>
      </c>
      <c r="HQ57">
        <v>16.428000000000001</v>
      </c>
      <c r="HR57">
        <v>13.045999999999999</v>
      </c>
      <c r="HS57">
        <v>12.53</v>
      </c>
      <c r="HT57">
        <v>15.438000000000001</v>
      </c>
      <c r="HU57">
        <v>16.135000000000002</v>
      </c>
      <c r="HV57">
        <v>14.955</v>
      </c>
      <c r="HW57">
        <v>17.257999999999999</v>
      </c>
      <c r="HX57">
        <v>16.486999999999998</v>
      </c>
      <c r="HY57">
        <v>16.991</v>
      </c>
      <c r="HZ57">
        <v>16.821999999999999</v>
      </c>
      <c r="IA57">
        <v>16.724</v>
      </c>
      <c r="IB57">
        <v>16.346</v>
      </c>
      <c r="IC57">
        <v>15.467000000000001</v>
      </c>
      <c r="ID57">
        <v>14.455</v>
      </c>
      <c r="IE57">
        <v>16.754999999999999</v>
      </c>
      <c r="IF57">
        <v>16.754999999999999</v>
      </c>
      <c r="IG57">
        <v>17.292999999999999</v>
      </c>
      <c r="IH57">
        <v>16.222999999999999</v>
      </c>
      <c r="II57">
        <v>17.111000000000001</v>
      </c>
      <c r="IJ57">
        <v>16.039000000000001</v>
      </c>
      <c r="IK57">
        <v>16.628</v>
      </c>
      <c r="IL57">
        <v>17.491</v>
      </c>
      <c r="IM57">
        <v>16.939</v>
      </c>
      <c r="IN57">
        <v>15.906000000000001</v>
      </c>
      <c r="IO57">
        <v>16.079000000000001</v>
      </c>
      <c r="IP57">
        <v>16.603000000000002</v>
      </c>
      <c r="IQ57">
        <v>10.554</v>
      </c>
      <c r="IR57">
        <v>15.807</v>
      </c>
      <c r="IS57">
        <v>17.004000000000001</v>
      </c>
      <c r="IT57">
        <v>16.916</v>
      </c>
      <c r="IU57">
        <v>16.678000000000001</v>
      </c>
      <c r="IV57">
        <v>15.728999999999999</v>
      </c>
      <c r="IW57">
        <v>13.349</v>
      </c>
      <c r="IX57">
        <v>16.748000000000001</v>
      </c>
      <c r="IY57">
        <v>16.562999999999999</v>
      </c>
      <c r="IZ57">
        <v>16.405000000000001</v>
      </c>
      <c r="JA57">
        <v>16.145</v>
      </c>
      <c r="JB57">
        <v>16.215</v>
      </c>
      <c r="JC57">
        <v>17.201000000000001</v>
      </c>
      <c r="JD57">
        <v>15.912000000000001</v>
      </c>
      <c r="JE57">
        <v>14.949</v>
      </c>
      <c r="JF57">
        <v>16.478000000000002</v>
      </c>
      <c r="JG57">
        <v>17.236999999999998</v>
      </c>
      <c r="JH57">
        <v>16.420999999999999</v>
      </c>
      <c r="JI57">
        <v>10.561999999999999</v>
      </c>
      <c r="JJ57">
        <v>16.866</v>
      </c>
      <c r="JK57">
        <v>12.396000000000001</v>
      </c>
      <c r="JL57">
        <v>17.013999999999999</v>
      </c>
      <c r="JM57">
        <v>16.114000000000001</v>
      </c>
      <c r="JN57">
        <v>16.353000000000002</v>
      </c>
      <c r="JO57">
        <v>16.895</v>
      </c>
      <c r="JP57">
        <v>13.163</v>
      </c>
      <c r="JQ57">
        <v>16.120999999999999</v>
      </c>
      <c r="JR57">
        <v>16.716000000000001</v>
      </c>
      <c r="JS57">
        <v>16.942</v>
      </c>
      <c r="JT57">
        <v>16.753</v>
      </c>
      <c r="JU57">
        <v>16.803000000000001</v>
      </c>
      <c r="JV57">
        <v>16.335000000000001</v>
      </c>
      <c r="JW57">
        <v>16.86</v>
      </c>
      <c r="JX57">
        <v>16.46</v>
      </c>
      <c r="JY57">
        <v>13.516999999999999</v>
      </c>
      <c r="JZ57">
        <v>9.7119999999999997</v>
      </c>
      <c r="KA57">
        <v>16.151</v>
      </c>
      <c r="KB57">
        <v>16.599</v>
      </c>
      <c r="KC57">
        <v>16.887</v>
      </c>
      <c r="KD57">
        <v>16.777999999999999</v>
      </c>
      <c r="KE57">
        <v>13.781000000000001</v>
      </c>
      <c r="KF57">
        <v>12.269</v>
      </c>
      <c r="KG57">
        <v>17.792999999999999</v>
      </c>
      <c r="KH57">
        <v>17.091000000000001</v>
      </c>
      <c r="KI57">
        <v>15.923</v>
      </c>
      <c r="KJ57">
        <v>16.773</v>
      </c>
      <c r="KK57">
        <v>17.123999999999999</v>
      </c>
      <c r="KL57">
        <v>13.736000000000001</v>
      </c>
      <c r="KM57">
        <v>11.458</v>
      </c>
      <c r="KN57">
        <v>16.283000000000001</v>
      </c>
      <c r="KO57">
        <v>15.127000000000001</v>
      </c>
      <c r="KP57">
        <v>15.358000000000001</v>
      </c>
      <c r="KQ57">
        <v>11.929</v>
      </c>
      <c r="KR57">
        <v>11.973000000000001</v>
      </c>
    </row>
    <row r="58" spans="1:304" x14ac:dyDescent="0.25">
      <c r="A58">
        <v>2018</v>
      </c>
      <c r="B58">
        <v>7</v>
      </c>
      <c r="C58">
        <v>14.795999999999999</v>
      </c>
      <c r="D58">
        <v>21.943999999999999</v>
      </c>
      <c r="E58">
        <v>20.13</v>
      </c>
      <c r="F58">
        <v>19.971</v>
      </c>
      <c r="G58">
        <v>20.506</v>
      </c>
      <c r="H58">
        <v>21.574000000000002</v>
      </c>
      <c r="I58">
        <v>18.007000000000001</v>
      </c>
      <c r="J58">
        <v>18.448</v>
      </c>
      <c r="K58">
        <v>21.094000000000001</v>
      </c>
      <c r="L58">
        <v>21.02</v>
      </c>
      <c r="M58">
        <v>20.850999999999999</v>
      </c>
      <c r="N58">
        <v>20.991</v>
      </c>
      <c r="O58">
        <v>20.087</v>
      </c>
      <c r="P58">
        <v>20.457999999999998</v>
      </c>
      <c r="Q58">
        <v>20.152999999999999</v>
      </c>
      <c r="R58">
        <v>19.690000000000001</v>
      </c>
      <c r="S58">
        <v>20.681999999999999</v>
      </c>
      <c r="T58">
        <v>21.113</v>
      </c>
      <c r="U58">
        <v>20.780999999999999</v>
      </c>
      <c r="V58">
        <v>19.72</v>
      </c>
      <c r="W58">
        <v>21.373999999999999</v>
      </c>
      <c r="X58">
        <v>20.414999999999999</v>
      </c>
      <c r="Y58">
        <v>20.81</v>
      </c>
      <c r="Z58">
        <v>18.577000000000002</v>
      </c>
      <c r="AA58">
        <v>21.010999999999999</v>
      </c>
      <c r="AB58">
        <v>19.856000000000002</v>
      </c>
      <c r="AC58">
        <v>20.92</v>
      </c>
      <c r="AD58">
        <v>20.59</v>
      </c>
      <c r="AE58">
        <v>21.901</v>
      </c>
      <c r="AF58">
        <v>20.817</v>
      </c>
      <c r="AG58">
        <v>20.286000000000001</v>
      </c>
      <c r="AH58">
        <v>18.946999999999999</v>
      </c>
      <c r="AI58">
        <v>19.507000000000001</v>
      </c>
      <c r="AJ58">
        <v>20.704999999999998</v>
      </c>
      <c r="AK58">
        <v>20.831</v>
      </c>
      <c r="AL58">
        <v>21.452999999999999</v>
      </c>
      <c r="AM58">
        <v>21.369</v>
      </c>
      <c r="AN58">
        <v>20.556000000000001</v>
      </c>
      <c r="AO58">
        <v>20.318999999999999</v>
      </c>
      <c r="AP58">
        <v>20.751000000000001</v>
      </c>
      <c r="AQ58">
        <v>19.971</v>
      </c>
      <c r="AR58">
        <v>20.001000000000001</v>
      </c>
      <c r="AS58">
        <v>19.952000000000002</v>
      </c>
      <c r="AT58">
        <v>20.994</v>
      </c>
      <c r="AU58">
        <v>20.332000000000001</v>
      </c>
      <c r="AV58">
        <v>20.507999999999999</v>
      </c>
      <c r="AW58">
        <v>20.882000000000001</v>
      </c>
      <c r="AX58">
        <v>21.094999999999999</v>
      </c>
      <c r="AY58">
        <v>21.280999999999999</v>
      </c>
      <c r="AZ58">
        <v>19.11</v>
      </c>
      <c r="BA58">
        <v>20.326000000000001</v>
      </c>
      <c r="BB58">
        <v>18.373000000000001</v>
      </c>
      <c r="BC58">
        <v>20.367000000000001</v>
      </c>
      <c r="BD58">
        <v>20.138999999999999</v>
      </c>
      <c r="BE58">
        <v>20.959</v>
      </c>
      <c r="BF58">
        <v>20.431999999999999</v>
      </c>
      <c r="BG58">
        <v>18.236999999999998</v>
      </c>
      <c r="BH58">
        <v>18.289000000000001</v>
      </c>
      <c r="BI58">
        <v>20.402000000000001</v>
      </c>
      <c r="BJ58">
        <v>20.358000000000001</v>
      </c>
      <c r="BK58">
        <v>20.959</v>
      </c>
      <c r="BL58">
        <v>21.875</v>
      </c>
      <c r="BM58">
        <v>20.439</v>
      </c>
      <c r="BN58">
        <v>21.155000000000001</v>
      </c>
      <c r="BO58">
        <v>21.366</v>
      </c>
      <c r="BP58">
        <v>20.234999999999999</v>
      </c>
      <c r="BQ58">
        <v>19.437000000000001</v>
      </c>
      <c r="BR58">
        <v>20.073</v>
      </c>
      <c r="BS58">
        <v>20.745000000000001</v>
      </c>
      <c r="BT58">
        <v>20.516999999999999</v>
      </c>
      <c r="BU58">
        <v>17.693000000000001</v>
      </c>
      <c r="BV58">
        <v>20.648</v>
      </c>
      <c r="BW58">
        <v>20.527999999999999</v>
      </c>
      <c r="BX58">
        <v>15.08</v>
      </c>
      <c r="BY58">
        <v>20.666</v>
      </c>
      <c r="BZ58">
        <v>20.065000000000001</v>
      </c>
      <c r="CA58">
        <v>19.923999999999999</v>
      </c>
      <c r="CB58">
        <v>20.544</v>
      </c>
      <c r="CC58">
        <v>20.954000000000001</v>
      </c>
      <c r="CD58">
        <v>21.414999999999999</v>
      </c>
      <c r="CE58">
        <v>20.61</v>
      </c>
      <c r="CF58">
        <v>20.754999999999999</v>
      </c>
      <c r="CG58">
        <v>19.716999999999999</v>
      </c>
      <c r="CH58">
        <v>20.402999999999999</v>
      </c>
      <c r="CI58">
        <v>19.829000000000001</v>
      </c>
      <c r="CJ58">
        <v>20.248000000000001</v>
      </c>
      <c r="CK58">
        <v>19.876000000000001</v>
      </c>
      <c r="CL58">
        <v>19.948</v>
      </c>
      <c r="CM58">
        <v>21.111000000000001</v>
      </c>
      <c r="CN58">
        <v>20.253</v>
      </c>
      <c r="CO58">
        <v>20.236000000000001</v>
      </c>
      <c r="CP58">
        <v>19.015999999999998</v>
      </c>
      <c r="CQ58">
        <v>19.927</v>
      </c>
      <c r="CR58">
        <v>22.195</v>
      </c>
      <c r="CS58">
        <v>20.492000000000001</v>
      </c>
      <c r="CT58">
        <v>21.209</v>
      </c>
      <c r="CU58">
        <v>21.192</v>
      </c>
      <c r="CV58">
        <v>18.274000000000001</v>
      </c>
      <c r="CW58">
        <v>20.541</v>
      </c>
      <c r="CX58">
        <v>20.751999999999999</v>
      </c>
      <c r="CY58">
        <v>20.658000000000001</v>
      </c>
      <c r="CZ58">
        <v>21.138000000000002</v>
      </c>
      <c r="DA58">
        <v>20.562000000000001</v>
      </c>
      <c r="DB58">
        <v>21.100999999999999</v>
      </c>
      <c r="DC58">
        <v>21.222999999999999</v>
      </c>
      <c r="DD58">
        <v>19.975999999999999</v>
      </c>
      <c r="DE58">
        <v>17.433</v>
      </c>
      <c r="DF58">
        <v>20.643000000000001</v>
      </c>
      <c r="DG58">
        <v>19.928999999999998</v>
      </c>
      <c r="DH58">
        <v>21.469000000000001</v>
      </c>
      <c r="DI58">
        <v>20.36</v>
      </c>
      <c r="DJ58">
        <v>20.367000000000001</v>
      </c>
      <c r="DK58">
        <v>20.875</v>
      </c>
      <c r="DL58">
        <v>20.518000000000001</v>
      </c>
      <c r="DM58">
        <v>21.221</v>
      </c>
      <c r="DN58">
        <v>20.303000000000001</v>
      </c>
      <c r="DO58">
        <v>21.462</v>
      </c>
      <c r="DP58">
        <v>20.155000000000001</v>
      </c>
      <c r="DQ58">
        <v>16.952000000000002</v>
      </c>
      <c r="DR58">
        <v>20.823</v>
      </c>
      <c r="DS58">
        <v>21.391999999999999</v>
      </c>
      <c r="DT58">
        <v>19.952000000000002</v>
      </c>
      <c r="DU58">
        <v>20.638000000000002</v>
      </c>
      <c r="DV58">
        <v>21.071000000000002</v>
      </c>
      <c r="DW58">
        <v>21.135999999999999</v>
      </c>
      <c r="DX58">
        <v>20.263999999999999</v>
      </c>
      <c r="DY58">
        <v>19.923999999999999</v>
      </c>
      <c r="DZ58">
        <v>20.731999999999999</v>
      </c>
      <c r="EA58">
        <v>21.693000000000001</v>
      </c>
      <c r="EB58">
        <v>20.832000000000001</v>
      </c>
      <c r="EC58">
        <v>20.181000000000001</v>
      </c>
      <c r="ED58">
        <v>21.016999999999999</v>
      </c>
      <c r="EE58">
        <v>21.533999999999999</v>
      </c>
      <c r="EF58">
        <v>20.082000000000001</v>
      </c>
      <c r="EG58">
        <v>20.100999999999999</v>
      </c>
      <c r="EH58">
        <v>20.99</v>
      </c>
      <c r="EI58">
        <v>20.626000000000001</v>
      </c>
      <c r="EJ58">
        <v>20.713999999999999</v>
      </c>
      <c r="EK58">
        <v>20.841000000000001</v>
      </c>
      <c r="EL58">
        <v>19.068999999999999</v>
      </c>
      <c r="EM58">
        <v>19.690000000000001</v>
      </c>
      <c r="EN58">
        <v>20.861000000000001</v>
      </c>
      <c r="EO58">
        <v>21.021999999999998</v>
      </c>
      <c r="EP58">
        <v>19.216999999999999</v>
      </c>
      <c r="EQ58">
        <v>18.567</v>
      </c>
      <c r="ER58">
        <v>20.975999999999999</v>
      </c>
      <c r="ES58">
        <v>19.826000000000001</v>
      </c>
      <c r="ET58">
        <v>20.402000000000001</v>
      </c>
      <c r="EU58">
        <v>21.053000000000001</v>
      </c>
      <c r="EV58">
        <v>20.56</v>
      </c>
      <c r="EW58">
        <v>21.117000000000001</v>
      </c>
      <c r="EX58">
        <v>20.268999999999998</v>
      </c>
      <c r="EY58">
        <v>20.663</v>
      </c>
      <c r="EZ58">
        <v>21.530999999999999</v>
      </c>
      <c r="FA58">
        <v>20.338000000000001</v>
      </c>
      <c r="FB58">
        <v>20.984999999999999</v>
      </c>
      <c r="FC58">
        <v>21.012</v>
      </c>
      <c r="FD58">
        <v>21.68</v>
      </c>
      <c r="FE58">
        <v>20.821999999999999</v>
      </c>
      <c r="FF58">
        <v>20.545000000000002</v>
      </c>
      <c r="FG58">
        <v>19.977</v>
      </c>
      <c r="FH58">
        <v>20.428999999999998</v>
      </c>
      <c r="FI58">
        <v>21.268000000000001</v>
      </c>
      <c r="FJ58">
        <v>20.573</v>
      </c>
      <c r="FK58">
        <v>18.843</v>
      </c>
      <c r="FL58">
        <v>21.23</v>
      </c>
      <c r="FM58">
        <v>21.239000000000001</v>
      </c>
      <c r="FN58">
        <v>21.225999999999999</v>
      </c>
      <c r="FO58">
        <v>20.135000000000002</v>
      </c>
      <c r="FP58">
        <v>20.416</v>
      </c>
      <c r="FQ58">
        <v>20.523</v>
      </c>
      <c r="FR58">
        <v>20.692</v>
      </c>
      <c r="FS58">
        <v>20.28</v>
      </c>
      <c r="FT58">
        <v>20.041</v>
      </c>
      <c r="FU58">
        <v>20.09</v>
      </c>
      <c r="FV58">
        <v>20.760999999999999</v>
      </c>
      <c r="FW58">
        <v>20.68</v>
      </c>
      <c r="FX58">
        <v>19.414999999999999</v>
      </c>
      <c r="FY58">
        <v>20.204999999999998</v>
      </c>
      <c r="FZ58">
        <v>20.782</v>
      </c>
      <c r="GA58">
        <v>14.866</v>
      </c>
      <c r="GB58">
        <v>20.405999999999999</v>
      </c>
      <c r="GC58">
        <v>20.893000000000001</v>
      </c>
      <c r="GD58">
        <v>20.201000000000001</v>
      </c>
      <c r="GE58">
        <v>20.995999999999999</v>
      </c>
      <c r="GF58">
        <v>21.774000000000001</v>
      </c>
      <c r="GG58">
        <v>20.97</v>
      </c>
      <c r="GH58">
        <v>21.696000000000002</v>
      </c>
      <c r="GI58">
        <v>20.097999999999999</v>
      </c>
      <c r="GJ58">
        <v>20.306000000000001</v>
      </c>
      <c r="GK58">
        <v>20.667999999999999</v>
      </c>
      <c r="GL58">
        <v>20.312000000000001</v>
      </c>
      <c r="GM58">
        <v>20.814</v>
      </c>
      <c r="GN58">
        <v>20.280999999999999</v>
      </c>
      <c r="GO58">
        <v>19.859000000000002</v>
      </c>
      <c r="GP58">
        <v>20.785</v>
      </c>
      <c r="GQ58">
        <v>20.640999999999998</v>
      </c>
      <c r="GR58">
        <v>19.992000000000001</v>
      </c>
      <c r="GS58">
        <v>22.047999999999998</v>
      </c>
      <c r="GT58">
        <v>22.111999999999998</v>
      </c>
      <c r="GU58">
        <v>18.521999999999998</v>
      </c>
      <c r="GV58">
        <v>19.361999999999998</v>
      </c>
      <c r="GW58">
        <v>20.786999999999999</v>
      </c>
      <c r="GX58">
        <v>19.975000000000001</v>
      </c>
      <c r="GY58">
        <v>21.882999999999999</v>
      </c>
      <c r="GZ58">
        <v>22.215</v>
      </c>
      <c r="HA58">
        <v>20.664999999999999</v>
      </c>
      <c r="HB58">
        <v>15.404999999999999</v>
      </c>
      <c r="HC58">
        <v>17.803000000000001</v>
      </c>
      <c r="HD58">
        <v>21.576000000000001</v>
      </c>
      <c r="HE58">
        <v>20.567</v>
      </c>
      <c r="HF58">
        <v>18.87</v>
      </c>
      <c r="HG58">
        <v>22.175999999999998</v>
      </c>
      <c r="HH58">
        <v>20.042000000000002</v>
      </c>
      <c r="HI58">
        <v>20.722000000000001</v>
      </c>
      <c r="HJ58">
        <v>21.277999999999999</v>
      </c>
      <c r="HK58">
        <v>20.561</v>
      </c>
      <c r="HL58">
        <v>20.792999999999999</v>
      </c>
      <c r="HM58">
        <v>18.84</v>
      </c>
      <c r="HN58">
        <v>19.670000000000002</v>
      </c>
      <c r="HO58">
        <v>18.443000000000001</v>
      </c>
      <c r="HP58">
        <v>20.303000000000001</v>
      </c>
      <c r="HQ58">
        <v>20.431999999999999</v>
      </c>
      <c r="HR58">
        <v>18.722999999999999</v>
      </c>
      <c r="HS58">
        <v>18.411999999999999</v>
      </c>
      <c r="HT58">
        <v>20.576000000000001</v>
      </c>
      <c r="HU58">
        <v>20.413</v>
      </c>
      <c r="HV58">
        <v>20.123000000000001</v>
      </c>
      <c r="HW58">
        <v>21.196999999999999</v>
      </c>
      <c r="HX58">
        <v>21.524000000000001</v>
      </c>
      <c r="HY58">
        <v>20.568000000000001</v>
      </c>
      <c r="HZ58">
        <v>20.327000000000002</v>
      </c>
      <c r="IA58">
        <v>21.06</v>
      </c>
      <c r="IB58">
        <v>20.456</v>
      </c>
      <c r="IC58">
        <v>20.623999999999999</v>
      </c>
      <c r="ID58">
        <v>20.077999999999999</v>
      </c>
      <c r="IE58">
        <v>20.745000000000001</v>
      </c>
      <c r="IF58">
        <v>19.434999999999999</v>
      </c>
      <c r="IG58">
        <v>20.135000000000002</v>
      </c>
      <c r="IH58">
        <v>20.724</v>
      </c>
      <c r="II58">
        <v>21.103999999999999</v>
      </c>
      <c r="IJ58">
        <v>19.748999999999999</v>
      </c>
      <c r="IK58">
        <v>21.035</v>
      </c>
      <c r="IL58">
        <v>20.213999999999999</v>
      </c>
      <c r="IM58">
        <v>20.454999999999998</v>
      </c>
      <c r="IN58">
        <v>20.681999999999999</v>
      </c>
      <c r="IO58">
        <v>21.146999999999998</v>
      </c>
      <c r="IP58">
        <v>21.786999999999999</v>
      </c>
      <c r="IQ58">
        <v>16.649000000000001</v>
      </c>
      <c r="IR58">
        <v>20.896000000000001</v>
      </c>
      <c r="IS58">
        <v>21.292999999999999</v>
      </c>
      <c r="IT58">
        <v>20.204999999999998</v>
      </c>
      <c r="IU58">
        <v>19.78</v>
      </c>
      <c r="IV58">
        <v>19.681999999999999</v>
      </c>
      <c r="IW58">
        <v>20.532</v>
      </c>
      <c r="IX58">
        <v>21.966999999999999</v>
      </c>
      <c r="IY58">
        <v>21.792999999999999</v>
      </c>
      <c r="IZ58">
        <v>21.667000000000002</v>
      </c>
      <c r="JA58">
        <v>20.696000000000002</v>
      </c>
      <c r="JB58">
        <v>20.222000000000001</v>
      </c>
      <c r="JC58">
        <v>21.047000000000001</v>
      </c>
      <c r="JD58">
        <v>21.123999999999999</v>
      </c>
      <c r="JE58">
        <v>20.042000000000002</v>
      </c>
      <c r="JF58">
        <v>20.37</v>
      </c>
      <c r="JG58">
        <v>20.029</v>
      </c>
      <c r="JH58">
        <v>20.692</v>
      </c>
      <c r="JI58">
        <v>17.991</v>
      </c>
      <c r="JJ58">
        <v>20.817</v>
      </c>
      <c r="JK58">
        <v>19.792000000000002</v>
      </c>
      <c r="JL58">
        <v>21.143000000000001</v>
      </c>
      <c r="JM58">
        <v>19.986000000000001</v>
      </c>
      <c r="JN58">
        <v>20.018000000000001</v>
      </c>
      <c r="JO58">
        <v>20.454000000000001</v>
      </c>
      <c r="JP58">
        <v>20.603000000000002</v>
      </c>
      <c r="JQ58">
        <v>21.148</v>
      </c>
      <c r="JR58">
        <v>20.495999999999999</v>
      </c>
      <c r="JS58">
        <v>20.582000000000001</v>
      </c>
      <c r="JT58">
        <v>21.643000000000001</v>
      </c>
      <c r="JU58">
        <v>20.876000000000001</v>
      </c>
      <c r="JV58">
        <v>20.597000000000001</v>
      </c>
      <c r="JW58">
        <v>19.774999999999999</v>
      </c>
      <c r="JX58">
        <v>20.574000000000002</v>
      </c>
      <c r="JY58">
        <v>19.271999999999998</v>
      </c>
      <c r="JZ58">
        <v>16.786000000000001</v>
      </c>
      <c r="KA58">
        <v>20.202999999999999</v>
      </c>
      <c r="KB58">
        <v>20.504999999999999</v>
      </c>
      <c r="KC58">
        <v>20.753</v>
      </c>
      <c r="KD58">
        <v>20.035</v>
      </c>
      <c r="KE58">
        <v>19.559999999999999</v>
      </c>
      <c r="KF58">
        <v>19.356999999999999</v>
      </c>
      <c r="KG58">
        <v>20.184999999999999</v>
      </c>
      <c r="KH58">
        <v>19.7</v>
      </c>
      <c r="KI58">
        <v>20.291</v>
      </c>
      <c r="KJ58">
        <v>21.414999999999999</v>
      </c>
      <c r="KK58">
        <v>19.608000000000001</v>
      </c>
      <c r="KL58">
        <v>20.21</v>
      </c>
      <c r="KM58">
        <v>18.565999999999999</v>
      </c>
      <c r="KN58">
        <v>21.329000000000001</v>
      </c>
      <c r="KO58">
        <v>20.113</v>
      </c>
      <c r="KP58">
        <v>20.164999999999999</v>
      </c>
      <c r="KQ58">
        <v>20.271999999999998</v>
      </c>
      <c r="KR58">
        <v>20.504000000000001</v>
      </c>
    </row>
    <row r="59" spans="1:304" x14ac:dyDescent="0.25">
      <c r="A59">
        <v>2018</v>
      </c>
      <c r="B59">
        <v>8</v>
      </c>
      <c r="C59">
        <v>10.587999999999999</v>
      </c>
      <c r="D59">
        <v>18.629000000000001</v>
      </c>
      <c r="E59">
        <v>16.891999999999999</v>
      </c>
      <c r="F59">
        <v>16.513000000000002</v>
      </c>
      <c r="G59">
        <v>16.925999999999998</v>
      </c>
      <c r="H59">
        <v>17.425999999999998</v>
      </c>
      <c r="I59">
        <v>11.717000000000001</v>
      </c>
      <c r="J59">
        <v>12.353</v>
      </c>
      <c r="K59">
        <v>15.637</v>
      </c>
      <c r="L59">
        <v>16.626999999999999</v>
      </c>
      <c r="M59">
        <v>16.010000000000002</v>
      </c>
      <c r="N59">
        <v>15.792999999999999</v>
      </c>
      <c r="O59">
        <v>14.044</v>
      </c>
      <c r="P59">
        <v>18.195</v>
      </c>
      <c r="Q59">
        <v>14.602</v>
      </c>
      <c r="R59">
        <v>16.202999999999999</v>
      </c>
      <c r="S59">
        <v>15.894</v>
      </c>
      <c r="T59">
        <v>19.637</v>
      </c>
      <c r="U59">
        <v>15.519</v>
      </c>
      <c r="V59">
        <v>16.05</v>
      </c>
      <c r="W59">
        <v>18.094000000000001</v>
      </c>
      <c r="X59">
        <v>17.489000000000001</v>
      </c>
      <c r="Y59">
        <v>18.277000000000001</v>
      </c>
      <c r="Z59">
        <v>13.164999999999999</v>
      </c>
      <c r="AA59">
        <v>19.378</v>
      </c>
      <c r="AB59">
        <v>17.890999999999998</v>
      </c>
      <c r="AC59">
        <v>14.93</v>
      </c>
      <c r="AD59">
        <v>15.66</v>
      </c>
      <c r="AE59">
        <v>18.782</v>
      </c>
      <c r="AF59">
        <v>15.964</v>
      </c>
      <c r="AG59">
        <v>15.664</v>
      </c>
      <c r="AH59">
        <v>12.766</v>
      </c>
      <c r="AI59">
        <v>14.678000000000001</v>
      </c>
      <c r="AJ59">
        <v>16.605</v>
      </c>
      <c r="AK59">
        <v>17.533000000000001</v>
      </c>
      <c r="AL59">
        <v>17.663</v>
      </c>
      <c r="AM59">
        <v>17.427</v>
      </c>
      <c r="AN59">
        <v>18.574000000000002</v>
      </c>
      <c r="AO59">
        <v>16.553999999999998</v>
      </c>
      <c r="AP59">
        <v>15.786</v>
      </c>
      <c r="AQ59">
        <v>17.940000000000001</v>
      </c>
      <c r="AR59">
        <v>16.135000000000002</v>
      </c>
      <c r="AS59">
        <v>19.387</v>
      </c>
      <c r="AT59">
        <v>15.877000000000001</v>
      </c>
      <c r="AU59">
        <v>15.206</v>
      </c>
      <c r="AV59">
        <v>16.917999999999999</v>
      </c>
      <c r="AW59">
        <v>17.405999999999999</v>
      </c>
      <c r="AX59">
        <v>17.535</v>
      </c>
      <c r="AY59">
        <v>16.024999999999999</v>
      </c>
      <c r="AZ59">
        <v>13.023</v>
      </c>
      <c r="BA59">
        <v>15.986000000000001</v>
      </c>
      <c r="BB59">
        <v>12.169</v>
      </c>
      <c r="BC59">
        <v>14.893000000000001</v>
      </c>
      <c r="BD59">
        <v>16.364999999999998</v>
      </c>
      <c r="BE59">
        <v>17.608000000000001</v>
      </c>
      <c r="BF59">
        <v>16.760000000000002</v>
      </c>
      <c r="BG59">
        <v>11.843</v>
      </c>
      <c r="BH59">
        <v>11.731999999999999</v>
      </c>
      <c r="BI59">
        <v>16.829999999999998</v>
      </c>
      <c r="BJ59">
        <v>17.507999999999999</v>
      </c>
      <c r="BK59">
        <v>16.957999999999998</v>
      </c>
      <c r="BL59">
        <v>18.326000000000001</v>
      </c>
      <c r="BM59">
        <v>14.92</v>
      </c>
      <c r="BN59">
        <v>16.597000000000001</v>
      </c>
      <c r="BO59">
        <v>16.925999999999998</v>
      </c>
      <c r="BP59">
        <v>17.972000000000001</v>
      </c>
      <c r="BQ59">
        <v>13.801</v>
      </c>
      <c r="BR59">
        <v>16.599</v>
      </c>
      <c r="BS59">
        <v>17.795999999999999</v>
      </c>
      <c r="BT59">
        <v>15.266</v>
      </c>
      <c r="BU59">
        <v>11.85</v>
      </c>
      <c r="BV59">
        <v>15.808</v>
      </c>
      <c r="BW59">
        <v>18.385999999999999</v>
      </c>
      <c r="BX59">
        <v>9.8130000000000006</v>
      </c>
      <c r="BY59">
        <v>18.927</v>
      </c>
      <c r="BZ59">
        <v>16.388999999999999</v>
      </c>
      <c r="CA59">
        <v>16.989999999999998</v>
      </c>
      <c r="CB59">
        <v>15.672000000000001</v>
      </c>
      <c r="CC59">
        <v>16.646000000000001</v>
      </c>
      <c r="CD59">
        <v>18.204999999999998</v>
      </c>
      <c r="CE59">
        <v>16.254000000000001</v>
      </c>
      <c r="CF59">
        <v>17.626000000000001</v>
      </c>
      <c r="CG59">
        <v>16.547999999999998</v>
      </c>
      <c r="CH59">
        <v>15.23</v>
      </c>
      <c r="CI59">
        <v>15.335000000000001</v>
      </c>
      <c r="CJ59">
        <v>16.984999999999999</v>
      </c>
      <c r="CK59">
        <v>17.215</v>
      </c>
      <c r="CL59">
        <v>18.126000000000001</v>
      </c>
      <c r="CM59">
        <v>18.233000000000001</v>
      </c>
      <c r="CN59">
        <v>18.113</v>
      </c>
      <c r="CO59">
        <v>17.956</v>
      </c>
      <c r="CP59">
        <v>12.994999999999999</v>
      </c>
      <c r="CQ59">
        <v>13.847</v>
      </c>
      <c r="CR59">
        <v>18.901</v>
      </c>
      <c r="CS59">
        <v>16.827999999999999</v>
      </c>
      <c r="CT59">
        <v>15.023</v>
      </c>
      <c r="CU59">
        <v>19.277999999999999</v>
      </c>
      <c r="CV59">
        <v>11.641999999999999</v>
      </c>
      <c r="CW59">
        <v>17.364999999999998</v>
      </c>
      <c r="CX59">
        <v>18.088999999999999</v>
      </c>
      <c r="CY59">
        <v>15.731</v>
      </c>
      <c r="CZ59">
        <v>18.914000000000001</v>
      </c>
      <c r="DA59">
        <v>16.474</v>
      </c>
      <c r="DB59">
        <v>17.518999999999998</v>
      </c>
      <c r="DC59">
        <v>15.929</v>
      </c>
      <c r="DD59">
        <v>16.616</v>
      </c>
      <c r="DE59">
        <v>11.331</v>
      </c>
      <c r="DF59">
        <v>17.079000000000001</v>
      </c>
      <c r="DG59">
        <v>17.658000000000001</v>
      </c>
      <c r="DH59">
        <v>17.937999999999999</v>
      </c>
      <c r="DI59">
        <v>15.141</v>
      </c>
      <c r="DJ59">
        <v>15.36</v>
      </c>
      <c r="DK59">
        <v>18.358000000000001</v>
      </c>
      <c r="DL59">
        <v>16.401</v>
      </c>
      <c r="DM59">
        <v>16.620999999999999</v>
      </c>
      <c r="DN59">
        <v>17.437999999999999</v>
      </c>
      <c r="DO59">
        <v>17.529</v>
      </c>
      <c r="DP59">
        <v>17.093</v>
      </c>
      <c r="DQ59">
        <v>11.064</v>
      </c>
      <c r="DR59">
        <v>19.02</v>
      </c>
      <c r="DS59">
        <v>17.152000000000001</v>
      </c>
      <c r="DT59">
        <v>17.736000000000001</v>
      </c>
      <c r="DU59">
        <v>18.815000000000001</v>
      </c>
      <c r="DV59">
        <v>16.417999999999999</v>
      </c>
      <c r="DW59">
        <v>16.303000000000001</v>
      </c>
      <c r="DX59">
        <v>14.992000000000001</v>
      </c>
      <c r="DY59">
        <v>16.571000000000002</v>
      </c>
      <c r="DZ59">
        <v>17.117000000000001</v>
      </c>
      <c r="EA59">
        <v>18.661000000000001</v>
      </c>
      <c r="EB59">
        <v>17.126999999999999</v>
      </c>
      <c r="EC59">
        <v>16.559999999999999</v>
      </c>
      <c r="ED59">
        <v>15.865</v>
      </c>
      <c r="EE59">
        <v>17.951000000000001</v>
      </c>
      <c r="EF59">
        <v>16.702999999999999</v>
      </c>
      <c r="EG59">
        <v>15.263</v>
      </c>
      <c r="EH59">
        <v>19.367000000000001</v>
      </c>
      <c r="EI59">
        <v>15.266</v>
      </c>
      <c r="EJ59">
        <v>15.24</v>
      </c>
      <c r="EK59">
        <v>19.105</v>
      </c>
      <c r="EL59">
        <v>13.496</v>
      </c>
      <c r="EM59">
        <v>16.881</v>
      </c>
      <c r="EN59">
        <v>17.103000000000002</v>
      </c>
      <c r="EO59">
        <v>19.420000000000002</v>
      </c>
      <c r="EP59">
        <v>13.741</v>
      </c>
      <c r="EQ59">
        <v>12.419</v>
      </c>
      <c r="ER59">
        <v>17.236999999999998</v>
      </c>
      <c r="ES59">
        <v>16.988</v>
      </c>
      <c r="ET59">
        <v>16.568000000000001</v>
      </c>
      <c r="EU59">
        <v>17.466999999999999</v>
      </c>
      <c r="EV59">
        <v>15.093999999999999</v>
      </c>
      <c r="EW59">
        <v>17.542000000000002</v>
      </c>
      <c r="EX59">
        <v>16.239999999999998</v>
      </c>
      <c r="EY59">
        <v>15.237</v>
      </c>
      <c r="EZ59">
        <v>17.785</v>
      </c>
      <c r="FA59">
        <v>17.251000000000001</v>
      </c>
      <c r="FB59">
        <v>19.048999999999999</v>
      </c>
      <c r="FC59">
        <v>19.303000000000001</v>
      </c>
      <c r="FD59">
        <v>18.606000000000002</v>
      </c>
      <c r="FE59">
        <v>15.699</v>
      </c>
      <c r="FF59">
        <v>15.37</v>
      </c>
      <c r="FG59">
        <v>15.564</v>
      </c>
      <c r="FH59">
        <v>15.222</v>
      </c>
      <c r="FI59">
        <v>18.045999999999999</v>
      </c>
      <c r="FJ59">
        <v>18.036999999999999</v>
      </c>
      <c r="FK59">
        <v>13.164999999999999</v>
      </c>
      <c r="FL59">
        <v>18.337</v>
      </c>
      <c r="FM59">
        <v>17.79</v>
      </c>
      <c r="FN59">
        <v>18.071999999999999</v>
      </c>
      <c r="FO59">
        <v>17.920999999999999</v>
      </c>
      <c r="FP59">
        <v>16.282</v>
      </c>
      <c r="FQ59">
        <v>15.722</v>
      </c>
      <c r="FR59">
        <v>17.516999999999999</v>
      </c>
      <c r="FS59">
        <v>14.646000000000001</v>
      </c>
      <c r="FT59">
        <v>16.766999999999999</v>
      </c>
      <c r="FU59">
        <v>17.117000000000001</v>
      </c>
      <c r="FV59">
        <v>18.675999999999998</v>
      </c>
      <c r="FW59">
        <v>18.149000000000001</v>
      </c>
      <c r="FX59">
        <v>13.084</v>
      </c>
      <c r="FY59">
        <v>16.954000000000001</v>
      </c>
      <c r="FZ59">
        <v>14.989000000000001</v>
      </c>
      <c r="GA59">
        <v>10.231</v>
      </c>
      <c r="GB59">
        <v>15.097</v>
      </c>
      <c r="GC59">
        <v>18.512</v>
      </c>
      <c r="GD59">
        <v>14.927</v>
      </c>
      <c r="GE59">
        <v>16.477</v>
      </c>
      <c r="GF59">
        <v>18.306999999999999</v>
      </c>
      <c r="GG59">
        <v>16.443000000000001</v>
      </c>
      <c r="GH59">
        <v>18.202000000000002</v>
      </c>
      <c r="GI59">
        <v>18.966000000000001</v>
      </c>
      <c r="GJ59">
        <v>18.524000000000001</v>
      </c>
      <c r="GK59">
        <v>16.693000000000001</v>
      </c>
      <c r="GL59">
        <v>15.337</v>
      </c>
      <c r="GM59">
        <v>15.701000000000001</v>
      </c>
      <c r="GN59">
        <v>18.783000000000001</v>
      </c>
      <c r="GO59">
        <v>17.137</v>
      </c>
      <c r="GP59">
        <v>16.577999999999999</v>
      </c>
      <c r="GQ59">
        <v>15.419</v>
      </c>
      <c r="GR59">
        <v>14.423</v>
      </c>
      <c r="GS59">
        <v>18.794</v>
      </c>
      <c r="GT59">
        <v>18.902000000000001</v>
      </c>
      <c r="GU59">
        <v>11.862</v>
      </c>
      <c r="GV59">
        <v>16.916</v>
      </c>
      <c r="GW59">
        <v>19.096</v>
      </c>
      <c r="GX59">
        <v>16.812000000000001</v>
      </c>
      <c r="GY59">
        <v>18.675000000000001</v>
      </c>
      <c r="GZ59">
        <v>18.946999999999999</v>
      </c>
      <c r="HA59">
        <v>15.621</v>
      </c>
      <c r="HB59">
        <v>10.331</v>
      </c>
      <c r="HC59">
        <v>12.093999999999999</v>
      </c>
      <c r="HD59">
        <v>17.896999999999998</v>
      </c>
      <c r="HE59">
        <v>16.693000000000001</v>
      </c>
      <c r="HF59">
        <v>12.824</v>
      </c>
      <c r="HG59">
        <v>18.927</v>
      </c>
      <c r="HH59">
        <v>15.58</v>
      </c>
      <c r="HI59">
        <v>15.391999999999999</v>
      </c>
      <c r="HJ59">
        <v>16.651</v>
      </c>
      <c r="HK59">
        <v>18.507999999999999</v>
      </c>
      <c r="HL59">
        <v>19.039000000000001</v>
      </c>
      <c r="HM59">
        <v>12.971</v>
      </c>
      <c r="HN59">
        <v>16.117000000000001</v>
      </c>
      <c r="HO59">
        <v>12.944000000000001</v>
      </c>
      <c r="HP59">
        <v>16.925999999999998</v>
      </c>
      <c r="HQ59">
        <v>15.891</v>
      </c>
      <c r="HR59">
        <v>12.394</v>
      </c>
      <c r="HS59">
        <v>12.266999999999999</v>
      </c>
      <c r="HT59">
        <v>15.593</v>
      </c>
      <c r="HU59">
        <v>16.457999999999998</v>
      </c>
      <c r="HV59">
        <v>16.440000000000001</v>
      </c>
      <c r="HW59">
        <v>18.111999999999998</v>
      </c>
      <c r="HX59">
        <v>18.041</v>
      </c>
      <c r="HY59">
        <v>18.352</v>
      </c>
      <c r="HZ59">
        <v>16.376999999999999</v>
      </c>
      <c r="IA59">
        <v>16.948</v>
      </c>
      <c r="IB59">
        <v>16.411000000000001</v>
      </c>
      <c r="IC59">
        <v>16.917999999999999</v>
      </c>
      <c r="ID59">
        <v>15.226000000000001</v>
      </c>
      <c r="IE59">
        <v>17.228000000000002</v>
      </c>
      <c r="IF59">
        <v>17.265999999999998</v>
      </c>
      <c r="IG59">
        <v>18.605</v>
      </c>
      <c r="IH59">
        <v>15.022</v>
      </c>
      <c r="II59">
        <v>18.782</v>
      </c>
      <c r="IJ59">
        <v>16.094000000000001</v>
      </c>
      <c r="IK59">
        <v>16.945</v>
      </c>
      <c r="IL59">
        <v>19.207999999999998</v>
      </c>
      <c r="IM59">
        <v>16.698</v>
      </c>
      <c r="IN59">
        <v>17.919</v>
      </c>
      <c r="IO59">
        <v>18.206</v>
      </c>
      <c r="IP59">
        <v>18.661000000000001</v>
      </c>
      <c r="IQ59">
        <v>10.875999999999999</v>
      </c>
      <c r="IR59">
        <v>16.556999999999999</v>
      </c>
      <c r="IS59">
        <v>17.047000000000001</v>
      </c>
      <c r="IT59">
        <v>16.548999999999999</v>
      </c>
      <c r="IU59">
        <v>16.524000000000001</v>
      </c>
      <c r="IV59">
        <v>15.98</v>
      </c>
      <c r="IW59">
        <v>15.304</v>
      </c>
      <c r="IX59">
        <v>18.521999999999998</v>
      </c>
      <c r="IY59">
        <v>18.498000000000001</v>
      </c>
      <c r="IZ59">
        <v>17.867000000000001</v>
      </c>
      <c r="JA59">
        <v>17.661999999999999</v>
      </c>
      <c r="JB59">
        <v>16.442</v>
      </c>
      <c r="JC59">
        <v>18.228000000000002</v>
      </c>
      <c r="JD59">
        <v>17.93</v>
      </c>
      <c r="JE59">
        <v>14.430999999999999</v>
      </c>
      <c r="JF59">
        <v>16.725000000000001</v>
      </c>
      <c r="JG59">
        <v>17.939</v>
      </c>
      <c r="JH59">
        <v>16.946000000000002</v>
      </c>
      <c r="JI59">
        <v>12.063000000000001</v>
      </c>
      <c r="JJ59">
        <v>17.61</v>
      </c>
      <c r="JK59">
        <v>14.092000000000001</v>
      </c>
      <c r="JL59">
        <v>17.361999999999998</v>
      </c>
      <c r="JM59">
        <v>18.742000000000001</v>
      </c>
      <c r="JN59">
        <v>16.361000000000001</v>
      </c>
      <c r="JO59">
        <v>16.786000000000001</v>
      </c>
      <c r="JP59">
        <v>14.694000000000001</v>
      </c>
      <c r="JQ59">
        <v>18.324999999999999</v>
      </c>
      <c r="JR59">
        <v>16.797999999999998</v>
      </c>
      <c r="JS59">
        <v>18.547000000000001</v>
      </c>
      <c r="JT59">
        <v>17.521000000000001</v>
      </c>
      <c r="JU59">
        <v>17.114000000000001</v>
      </c>
      <c r="JV59">
        <v>16.827999999999999</v>
      </c>
      <c r="JW59">
        <v>18.863</v>
      </c>
      <c r="JX59">
        <v>16.14</v>
      </c>
      <c r="JY59">
        <v>13.959</v>
      </c>
      <c r="JZ59">
        <v>11.474</v>
      </c>
      <c r="KA59">
        <v>15.103999999999999</v>
      </c>
      <c r="KB59">
        <v>17.033000000000001</v>
      </c>
      <c r="KC59">
        <v>17.513999999999999</v>
      </c>
      <c r="KD59">
        <v>16.850000000000001</v>
      </c>
      <c r="KE59">
        <v>13.683</v>
      </c>
      <c r="KF59">
        <v>14.157999999999999</v>
      </c>
      <c r="KG59">
        <v>17.948</v>
      </c>
      <c r="KH59">
        <v>17.773</v>
      </c>
      <c r="KI59">
        <v>17.076000000000001</v>
      </c>
      <c r="KJ59">
        <v>16.63</v>
      </c>
      <c r="KK59">
        <v>17.138999999999999</v>
      </c>
      <c r="KL59">
        <v>15.071999999999999</v>
      </c>
      <c r="KM59">
        <v>13.063000000000001</v>
      </c>
      <c r="KN59">
        <v>18.463000000000001</v>
      </c>
      <c r="KO59">
        <v>17.254999999999999</v>
      </c>
      <c r="KP59">
        <v>14.252000000000001</v>
      </c>
      <c r="KQ59">
        <v>14.513</v>
      </c>
      <c r="KR59">
        <v>14.343</v>
      </c>
    </row>
    <row r="60" spans="1:304" x14ac:dyDescent="0.25">
      <c r="A60">
        <v>2018</v>
      </c>
      <c r="B60">
        <v>9</v>
      </c>
      <c r="C60">
        <v>6.577</v>
      </c>
      <c r="D60">
        <v>13.84</v>
      </c>
      <c r="E60">
        <v>13.409000000000001</v>
      </c>
      <c r="F60">
        <v>12.791</v>
      </c>
      <c r="G60">
        <v>12.622999999999999</v>
      </c>
      <c r="H60">
        <v>13.096</v>
      </c>
      <c r="I60">
        <v>7.4530000000000003</v>
      </c>
      <c r="J60">
        <v>7.4870000000000001</v>
      </c>
      <c r="K60">
        <v>11.9</v>
      </c>
      <c r="L60">
        <v>12.582000000000001</v>
      </c>
      <c r="M60">
        <v>11.709</v>
      </c>
      <c r="N60">
        <v>12.15</v>
      </c>
      <c r="O60">
        <v>9.0679999999999996</v>
      </c>
      <c r="P60">
        <v>14.359</v>
      </c>
      <c r="Q60">
        <v>8.9049999999999994</v>
      </c>
      <c r="R60">
        <v>12.667</v>
      </c>
      <c r="S60">
        <v>11.122999999999999</v>
      </c>
      <c r="T60">
        <v>14.765000000000001</v>
      </c>
      <c r="U60">
        <v>11.266999999999999</v>
      </c>
      <c r="V60">
        <v>12.194000000000001</v>
      </c>
      <c r="W60">
        <v>13.27</v>
      </c>
      <c r="X60">
        <v>13.202999999999999</v>
      </c>
      <c r="Y60">
        <v>13.819000000000001</v>
      </c>
      <c r="Z60">
        <v>9.1829999999999998</v>
      </c>
      <c r="AA60">
        <v>15.394</v>
      </c>
      <c r="AB60">
        <v>14.327</v>
      </c>
      <c r="AC60">
        <v>11.202999999999999</v>
      </c>
      <c r="AD60">
        <v>12.055999999999999</v>
      </c>
      <c r="AE60">
        <v>13.853</v>
      </c>
      <c r="AF60">
        <v>12.022</v>
      </c>
      <c r="AG60">
        <v>11.116</v>
      </c>
      <c r="AH60">
        <v>8.8049999999999997</v>
      </c>
      <c r="AI60">
        <v>10.659000000000001</v>
      </c>
      <c r="AJ60">
        <v>12.176</v>
      </c>
      <c r="AK60">
        <v>12.88</v>
      </c>
      <c r="AL60">
        <v>12.901</v>
      </c>
      <c r="AM60">
        <v>12.957000000000001</v>
      </c>
      <c r="AN60">
        <v>14.417</v>
      </c>
      <c r="AO60">
        <v>12.727</v>
      </c>
      <c r="AP60">
        <v>11.673999999999999</v>
      </c>
      <c r="AQ60">
        <v>14.627000000000001</v>
      </c>
      <c r="AR60">
        <v>12.244</v>
      </c>
      <c r="AS60">
        <v>15.755000000000001</v>
      </c>
      <c r="AT60">
        <v>11.478999999999999</v>
      </c>
      <c r="AU60">
        <v>11.175000000000001</v>
      </c>
      <c r="AV60">
        <v>12.144</v>
      </c>
      <c r="AW60">
        <v>12.917999999999999</v>
      </c>
      <c r="AX60">
        <v>12.965999999999999</v>
      </c>
      <c r="AY60">
        <v>12.239000000000001</v>
      </c>
      <c r="AZ60">
        <v>8.4469999999999992</v>
      </c>
      <c r="BA60">
        <v>12.452999999999999</v>
      </c>
      <c r="BB60">
        <v>8.5399999999999991</v>
      </c>
      <c r="BC60">
        <v>10.54</v>
      </c>
      <c r="BD60">
        <v>12.4</v>
      </c>
      <c r="BE60">
        <v>12.926</v>
      </c>
      <c r="BF60">
        <v>12.99</v>
      </c>
      <c r="BG60">
        <v>7.8170000000000002</v>
      </c>
      <c r="BH60">
        <v>6.8090000000000002</v>
      </c>
      <c r="BI60">
        <v>12.305</v>
      </c>
      <c r="BJ60">
        <v>14.257</v>
      </c>
      <c r="BK60">
        <v>13.11</v>
      </c>
      <c r="BL60">
        <v>13.430999999999999</v>
      </c>
      <c r="BM60">
        <v>10.882</v>
      </c>
      <c r="BN60">
        <v>12.603999999999999</v>
      </c>
      <c r="BO60">
        <v>12.391999999999999</v>
      </c>
      <c r="BP60">
        <v>14.441000000000001</v>
      </c>
      <c r="BQ60">
        <v>9.5579999999999998</v>
      </c>
      <c r="BR60">
        <v>13.175000000000001</v>
      </c>
      <c r="BS60">
        <v>13.05</v>
      </c>
      <c r="BT60">
        <v>9.9450000000000003</v>
      </c>
      <c r="BU60">
        <v>8.1720000000000006</v>
      </c>
      <c r="BV60">
        <v>11.603</v>
      </c>
      <c r="BW60">
        <v>14.675000000000001</v>
      </c>
      <c r="BX60">
        <v>6.4139999999999997</v>
      </c>
      <c r="BY60">
        <v>14.263</v>
      </c>
      <c r="BZ60">
        <v>12.58</v>
      </c>
      <c r="CA60">
        <v>13.250999999999999</v>
      </c>
      <c r="CB60">
        <v>11.337</v>
      </c>
      <c r="CC60">
        <v>12.78</v>
      </c>
      <c r="CD60">
        <v>13.348000000000001</v>
      </c>
      <c r="CE60">
        <v>11.766999999999999</v>
      </c>
      <c r="CF60">
        <v>12.927</v>
      </c>
      <c r="CG60">
        <v>12.686</v>
      </c>
      <c r="CH60">
        <v>11.167</v>
      </c>
      <c r="CI60">
        <v>11.22</v>
      </c>
      <c r="CJ60">
        <v>13.63</v>
      </c>
      <c r="CK60">
        <v>13.007</v>
      </c>
      <c r="CL60">
        <v>14.71</v>
      </c>
      <c r="CM60">
        <v>13.430999999999999</v>
      </c>
      <c r="CN60">
        <v>13.816000000000001</v>
      </c>
      <c r="CO60">
        <v>13.673999999999999</v>
      </c>
      <c r="CP60">
        <v>8.1020000000000003</v>
      </c>
      <c r="CQ60">
        <v>9.5269999999999992</v>
      </c>
      <c r="CR60">
        <v>13.994999999999999</v>
      </c>
      <c r="CS60">
        <v>12.659000000000001</v>
      </c>
      <c r="CT60">
        <v>9.2949999999999999</v>
      </c>
      <c r="CU60">
        <v>14.305999999999999</v>
      </c>
      <c r="CV60">
        <v>6.4370000000000003</v>
      </c>
      <c r="CW60">
        <v>13.467000000000001</v>
      </c>
      <c r="CX60">
        <v>13.512</v>
      </c>
      <c r="CY60">
        <v>11.798</v>
      </c>
      <c r="CZ60">
        <v>14.226000000000001</v>
      </c>
      <c r="DA60">
        <v>12.9</v>
      </c>
      <c r="DB60">
        <v>13.045</v>
      </c>
      <c r="DC60">
        <v>12.244999999999999</v>
      </c>
      <c r="DD60">
        <v>13</v>
      </c>
      <c r="DE60">
        <v>6.6589999999999998</v>
      </c>
      <c r="DF60">
        <v>12.725</v>
      </c>
      <c r="DG60">
        <v>13.698</v>
      </c>
      <c r="DH60">
        <v>12.965</v>
      </c>
      <c r="DI60">
        <v>10.875999999999999</v>
      </c>
      <c r="DJ60">
        <v>10.7</v>
      </c>
      <c r="DK60">
        <v>14.051</v>
      </c>
      <c r="DL60">
        <v>12.612</v>
      </c>
      <c r="DM60">
        <v>12.654</v>
      </c>
      <c r="DN60">
        <v>14.254</v>
      </c>
      <c r="DO60">
        <v>13.106999999999999</v>
      </c>
      <c r="DP60">
        <v>13.664999999999999</v>
      </c>
      <c r="DQ60">
        <v>6.4550000000000001</v>
      </c>
      <c r="DR60">
        <v>14.983000000000001</v>
      </c>
      <c r="DS60">
        <v>12.706</v>
      </c>
      <c r="DT60">
        <v>14.036</v>
      </c>
      <c r="DU60">
        <v>15.013999999999999</v>
      </c>
      <c r="DV60">
        <v>12.456</v>
      </c>
      <c r="DW60">
        <v>12.444000000000001</v>
      </c>
      <c r="DX60">
        <v>10.663</v>
      </c>
      <c r="DY60">
        <v>13.042</v>
      </c>
      <c r="DZ60">
        <v>12.667999999999999</v>
      </c>
      <c r="EA60">
        <v>13.737</v>
      </c>
      <c r="EB60">
        <v>13.388</v>
      </c>
      <c r="EC60">
        <v>13.023999999999999</v>
      </c>
      <c r="ED60">
        <v>11.791</v>
      </c>
      <c r="EE60">
        <v>13.593999999999999</v>
      </c>
      <c r="EF60">
        <v>12.602</v>
      </c>
      <c r="EG60">
        <v>10.628</v>
      </c>
      <c r="EH60">
        <v>15.395</v>
      </c>
      <c r="EI60">
        <v>11.231</v>
      </c>
      <c r="EJ60">
        <v>9.9390000000000001</v>
      </c>
      <c r="EK60">
        <v>15.018000000000001</v>
      </c>
      <c r="EL60">
        <v>8.6329999999999991</v>
      </c>
      <c r="EM60">
        <v>13.96</v>
      </c>
      <c r="EN60">
        <v>12.888999999999999</v>
      </c>
      <c r="EO60">
        <v>15.481</v>
      </c>
      <c r="EP60">
        <v>9.6020000000000003</v>
      </c>
      <c r="EQ60">
        <v>7.734</v>
      </c>
      <c r="ER60">
        <v>13.497</v>
      </c>
      <c r="ES60">
        <v>12.887</v>
      </c>
      <c r="ET60">
        <v>13.166</v>
      </c>
      <c r="EU60">
        <v>13.308</v>
      </c>
      <c r="EV60">
        <v>11.103</v>
      </c>
      <c r="EW60">
        <v>13.397</v>
      </c>
      <c r="EX60">
        <v>12.962</v>
      </c>
      <c r="EY60">
        <v>11.31</v>
      </c>
      <c r="EZ60">
        <v>12.792999999999999</v>
      </c>
      <c r="FA60">
        <v>13.964</v>
      </c>
      <c r="FB60">
        <v>14.196999999999999</v>
      </c>
      <c r="FC60">
        <v>14.428000000000001</v>
      </c>
      <c r="FD60">
        <v>13.682</v>
      </c>
      <c r="FE60">
        <v>11.802</v>
      </c>
      <c r="FF60">
        <v>11.292</v>
      </c>
      <c r="FG60">
        <v>11.058</v>
      </c>
      <c r="FH60">
        <v>10.43</v>
      </c>
      <c r="FI60">
        <v>13.532999999999999</v>
      </c>
      <c r="FJ60">
        <v>12.933999999999999</v>
      </c>
      <c r="FK60">
        <v>8.1389999999999993</v>
      </c>
      <c r="FL60">
        <v>13.31</v>
      </c>
      <c r="FM60">
        <v>13.121</v>
      </c>
      <c r="FN60">
        <v>13.395</v>
      </c>
      <c r="FO60">
        <v>13.257999999999999</v>
      </c>
      <c r="FP60">
        <v>11.958</v>
      </c>
      <c r="FQ60">
        <v>11.523999999999999</v>
      </c>
      <c r="FR60">
        <v>13.141</v>
      </c>
      <c r="FS60">
        <v>10.718</v>
      </c>
      <c r="FT60">
        <v>13.625999999999999</v>
      </c>
      <c r="FU60">
        <v>12.869</v>
      </c>
      <c r="FV60">
        <v>13.784000000000001</v>
      </c>
      <c r="FW60">
        <v>13.413</v>
      </c>
      <c r="FX60">
        <v>7.4459999999999997</v>
      </c>
      <c r="FY60">
        <v>13.518000000000001</v>
      </c>
      <c r="FZ60">
        <v>9.7219999999999995</v>
      </c>
      <c r="GA60">
        <v>6.49</v>
      </c>
      <c r="GB60">
        <v>9.7769999999999992</v>
      </c>
      <c r="GC60">
        <v>13.802</v>
      </c>
      <c r="GD60">
        <v>10.79</v>
      </c>
      <c r="GE60">
        <v>11.945</v>
      </c>
      <c r="GF60">
        <v>13.558999999999999</v>
      </c>
      <c r="GG60">
        <v>12.013999999999999</v>
      </c>
      <c r="GH60">
        <v>13.285</v>
      </c>
      <c r="GI60">
        <v>14.871</v>
      </c>
      <c r="GJ60">
        <v>14.16</v>
      </c>
      <c r="GK60">
        <v>12.808999999999999</v>
      </c>
      <c r="GL60">
        <v>9.7720000000000002</v>
      </c>
      <c r="GM60">
        <v>11.500999999999999</v>
      </c>
      <c r="GN60">
        <v>14.574</v>
      </c>
      <c r="GO60">
        <v>12.43</v>
      </c>
      <c r="GP60">
        <v>12.654</v>
      </c>
      <c r="GQ60">
        <v>11.462</v>
      </c>
      <c r="GR60">
        <v>9.7289999999999992</v>
      </c>
      <c r="GS60">
        <v>13.882999999999999</v>
      </c>
      <c r="GT60">
        <v>13.959</v>
      </c>
      <c r="GU60">
        <v>7.5529999999999999</v>
      </c>
      <c r="GV60">
        <v>14.167999999999999</v>
      </c>
      <c r="GW60">
        <v>14.975</v>
      </c>
      <c r="GX60">
        <v>13.493</v>
      </c>
      <c r="GY60">
        <v>13.741</v>
      </c>
      <c r="GZ60">
        <v>14.013</v>
      </c>
      <c r="HA60">
        <v>11.569000000000001</v>
      </c>
      <c r="HB60">
        <v>7.6639999999999997</v>
      </c>
      <c r="HC60">
        <v>7.9249999999999998</v>
      </c>
      <c r="HD60">
        <v>13.067</v>
      </c>
      <c r="HE60">
        <v>13.744999999999999</v>
      </c>
      <c r="HF60">
        <v>8.8829999999999991</v>
      </c>
      <c r="HG60">
        <v>13.993</v>
      </c>
      <c r="HH60">
        <v>11.163</v>
      </c>
      <c r="HI60">
        <v>11.622999999999999</v>
      </c>
      <c r="HJ60">
        <v>12.14</v>
      </c>
      <c r="HK60">
        <v>14.486000000000001</v>
      </c>
      <c r="HL60">
        <v>14.853</v>
      </c>
      <c r="HM60">
        <v>9.1310000000000002</v>
      </c>
      <c r="HN60">
        <v>12.256</v>
      </c>
      <c r="HO60">
        <v>9.3829999999999991</v>
      </c>
      <c r="HP60">
        <v>13.368</v>
      </c>
      <c r="HQ60">
        <v>12.568</v>
      </c>
      <c r="HR60">
        <v>8.3970000000000002</v>
      </c>
      <c r="HS60">
        <v>8.4090000000000007</v>
      </c>
      <c r="HT60">
        <v>11.499000000000001</v>
      </c>
      <c r="HU60">
        <v>12.221</v>
      </c>
      <c r="HV60">
        <v>11.97</v>
      </c>
      <c r="HW60">
        <v>13.651</v>
      </c>
      <c r="HX60">
        <v>13.335000000000001</v>
      </c>
      <c r="HY60">
        <v>13.837999999999999</v>
      </c>
      <c r="HZ60">
        <v>13.257999999999999</v>
      </c>
      <c r="IA60">
        <v>13.034000000000001</v>
      </c>
      <c r="IB60">
        <v>12.455</v>
      </c>
      <c r="IC60">
        <v>12.2</v>
      </c>
      <c r="ID60">
        <v>10.7</v>
      </c>
      <c r="IE60">
        <v>12.832000000000001</v>
      </c>
      <c r="IF60">
        <v>14.228999999999999</v>
      </c>
      <c r="IG60">
        <v>14.276999999999999</v>
      </c>
      <c r="IH60">
        <v>11.194000000000001</v>
      </c>
      <c r="II60">
        <v>13.888</v>
      </c>
      <c r="IJ60">
        <v>12.113</v>
      </c>
      <c r="IK60">
        <v>12.747</v>
      </c>
      <c r="IL60">
        <v>15.459</v>
      </c>
      <c r="IM60">
        <v>12.984999999999999</v>
      </c>
      <c r="IN60">
        <v>13.183</v>
      </c>
      <c r="IO60">
        <v>13.372</v>
      </c>
      <c r="IP60">
        <v>13.747</v>
      </c>
      <c r="IQ60">
        <v>7.5590000000000002</v>
      </c>
      <c r="IR60">
        <v>11.99</v>
      </c>
      <c r="IS60">
        <v>13.077999999999999</v>
      </c>
      <c r="IT60">
        <v>13.286</v>
      </c>
      <c r="IU60">
        <v>13.086</v>
      </c>
      <c r="IV60">
        <v>11.971</v>
      </c>
      <c r="IW60">
        <v>10.260999999999999</v>
      </c>
      <c r="IX60">
        <v>13.646000000000001</v>
      </c>
      <c r="IY60">
        <v>13.608000000000001</v>
      </c>
      <c r="IZ60">
        <v>12.868</v>
      </c>
      <c r="JA60">
        <v>13.648999999999999</v>
      </c>
      <c r="JB60">
        <v>12.28</v>
      </c>
      <c r="JC60">
        <v>13.667</v>
      </c>
      <c r="JD60">
        <v>13.037000000000001</v>
      </c>
      <c r="JE60">
        <v>10.23</v>
      </c>
      <c r="JF60">
        <v>12.933999999999999</v>
      </c>
      <c r="JG60">
        <v>14.699</v>
      </c>
      <c r="JH60">
        <v>12.401</v>
      </c>
      <c r="JI60">
        <v>8.0540000000000003</v>
      </c>
      <c r="JJ60">
        <v>12.922000000000001</v>
      </c>
      <c r="JK60">
        <v>8.9529999999999994</v>
      </c>
      <c r="JL60">
        <v>12.936999999999999</v>
      </c>
      <c r="JM60">
        <v>14.427</v>
      </c>
      <c r="JN60">
        <v>12.566000000000001</v>
      </c>
      <c r="JO60">
        <v>13.065</v>
      </c>
      <c r="JP60">
        <v>9.5739999999999998</v>
      </c>
      <c r="JQ60">
        <v>13.47</v>
      </c>
      <c r="JR60">
        <v>12.698</v>
      </c>
      <c r="JS60">
        <v>13.962999999999999</v>
      </c>
      <c r="JT60">
        <v>12.888999999999999</v>
      </c>
      <c r="JU60">
        <v>12.705</v>
      </c>
      <c r="JV60">
        <v>12.44</v>
      </c>
      <c r="JW60">
        <v>14.949</v>
      </c>
      <c r="JX60">
        <v>12.738</v>
      </c>
      <c r="JY60">
        <v>9.5129999999999999</v>
      </c>
      <c r="JZ60">
        <v>8.2680000000000007</v>
      </c>
      <c r="KA60">
        <v>11.558999999999999</v>
      </c>
      <c r="KB60">
        <v>12.41</v>
      </c>
      <c r="KC60">
        <v>13.102</v>
      </c>
      <c r="KD60">
        <v>12.547000000000001</v>
      </c>
      <c r="KE60">
        <v>9.6709999999999994</v>
      </c>
      <c r="KF60">
        <v>8.66</v>
      </c>
      <c r="KG60">
        <v>14.25</v>
      </c>
      <c r="KH60">
        <v>14.771000000000001</v>
      </c>
      <c r="KI60">
        <v>13.154999999999999</v>
      </c>
      <c r="KJ60">
        <v>12.659000000000001</v>
      </c>
      <c r="KK60">
        <v>13.093</v>
      </c>
      <c r="KL60">
        <v>10.409000000000001</v>
      </c>
      <c r="KM60">
        <v>9.6110000000000007</v>
      </c>
      <c r="KN60">
        <v>13.548999999999999</v>
      </c>
      <c r="KO60">
        <v>12.512</v>
      </c>
      <c r="KP60">
        <v>10.502000000000001</v>
      </c>
      <c r="KQ60">
        <v>8.5779999999999994</v>
      </c>
      <c r="KR60">
        <v>8.5570000000000004</v>
      </c>
    </row>
    <row r="61" spans="1:304" x14ac:dyDescent="0.25">
      <c r="A61">
        <v>2018</v>
      </c>
      <c r="B61">
        <v>10</v>
      </c>
      <c r="C61">
        <v>0.10100000000000001</v>
      </c>
      <c r="D61">
        <v>8.3800000000000008</v>
      </c>
      <c r="E61">
        <v>8.9139999999999997</v>
      </c>
      <c r="F61">
        <v>8.2720000000000002</v>
      </c>
      <c r="G61">
        <v>7.8070000000000004</v>
      </c>
      <c r="H61">
        <v>7.8079999999999998</v>
      </c>
      <c r="I61">
        <v>1.2310000000000001</v>
      </c>
      <c r="J61">
        <v>1.2849999999999999</v>
      </c>
      <c r="K61">
        <v>6.3120000000000003</v>
      </c>
      <c r="L61">
        <v>7.6040000000000001</v>
      </c>
      <c r="M61">
        <v>6.5670000000000002</v>
      </c>
      <c r="N61">
        <v>7.1509999999999998</v>
      </c>
      <c r="O61">
        <v>2.9119999999999999</v>
      </c>
      <c r="P61">
        <v>10.071</v>
      </c>
      <c r="Q61">
        <v>1.7909999999999999</v>
      </c>
      <c r="R61">
        <v>8.016</v>
      </c>
      <c r="S61">
        <v>5.444</v>
      </c>
      <c r="T61">
        <v>9.4130000000000003</v>
      </c>
      <c r="U61">
        <v>6.125</v>
      </c>
      <c r="V61">
        <v>7.5670000000000002</v>
      </c>
      <c r="W61">
        <v>7.6520000000000001</v>
      </c>
      <c r="X61">
        <v>8.5129999999999999</v>
      </c>
      <c r="Y61">
        <v>8.8800000000000008</v>
      </c>
      <c r="Z61">
        <v>3.4039999999999999</v>
      </c>
      <c r="AA61">
        <v>10.827999999999999</v>
      </c>
      <c r="AB61">
        <v>10.326000000000001</v>
      </c>
      <c r="AC61">
        <v>5.4809999999999999</v>
      </c>
      <c r="AD61">
        <v>7.2469999999999999</v>
      </c>
      <c r="AE61">
        <v>8.3309999999999995</v>
      </c>
      <c r="AF61">
        <v>6.9080000000000004</v>
      </c>
      <c r="AG61">
        <v>5.2809999999999997</v>
      </c>
      <c r="AH61">
        <v>2.915</v>
      </c>
      <c r="AI61">
        <v>5.0709999999999997</v>
      </c>
      <c r="AJ61">
        <v>7.36</v>
      </c>
      <c r="AK61">
        <v>7.4240000000000004</v>
      </c>
      <c r="AL61">
        <v>7.34</v>
      </c>
      <c r="AM61">
        <v>7.827</v>
      </c>
      <c r="AN61">
        <v>9.8840000000000003</v>
      </c>
      <c r="AO61">
        <v>8.0980000000000008</v>
      </c>
      <c r="AP61">
        <v>6.5750000000000002</v>
      </c>
      <c r="AQ61">
        <v>10.102</v>
      </c>
      <c r="AR61">
        <v>7.7510000000000003</v>
      </c>
      <c r="AS61">
        <v>11.211</v>
      </c>
      <c r="AT61">
        <v>6.1319999999999997</v>
      </c>
      <c r="AU61">
        <v>6.2240000000000002</v>
      </c>
      <c r="AV61">
        <v>6.8630000000000004</v>
      </c>
      <c r="AW61">
        <v>7.5759999999999996</v>
      </c>
      <c r="AX61">
        <v>7.532</v>
      </c>
      <c r="AY61">
        <v>6.7709999999999999</v>
      </c>
      <c r="AZ61">
        <v>2.3610000000000002</v>
      </c>
      <c r="BA61">
        <v>8.01</v>
      </c>
      <c r="BB61">
        <v>2.9289999999999998</v>
      </c>
      <c r="BC61">
        <v>5.5410000000000004</v>
      </c>
      <c r="BD61">
        <v>7.5940000000000003</v>
      </c>
      <c r="BE61">
        <v>7.3540000000000001</v>
      </c>
      <c r="BF61">
        <v>8.4030000000000005</v>
      </c>
      <c r="BG61">
        <v>1.7849999999999999</v>
      </c>
      <c r="BH61">
        <v>-0.47399999999999998</v>
      </c>
      <c r="BI61">
        <v>7.0890000000000004</v>
      </c>
      <c r="BJ61">
        <v>9.7140000000000004</v>
      </c>
      <c r="BK61">
        <v>8.5329999999999995</v>
      </c>
      <c r="BL61">
        <v>7.8780000000000001</v>
      </c>
      <c r="BM61">
        <v>5.63</v>
      </c>
      <c r="BN61">
        <v>7.5839999999999996</v>
      </c>
      <c r="BO61">
        <v>7.1310000000000002</v>
      </c>
      <c r="BP61">
        <v>10.051</v>
      </c>
      <c r="BQ61">
        <v>3.3359999999999999</v>
      </c>
      <c r="BR61">
        <v>7.9340000000000002</v>
      </c>
      <c r="BS61">
        <v>7.3639999999999999</v>
      </c>
      <c r="BT61">
        <v>2.8759999999999999</v>
      </c>
      <c r="BU61">
        <v>2.589</v>
      </c>
      <c r="BV61">
        <v>6.4290000000000003</v>
      </c>
      <c r="BW61">
        <v>10.462</v>
      </c>
      <c r="BX61">
        <v>0.81200000000000006</v>
      </c>
      <c r="BY61">
        <v>8.6470000000000002</v>
      </c>
      <c r="BZ61">
        <v>8.0459999999999994</v>
      </c>
      <c r="CA61">
        <v>8.7929999999999993</v>
      </c>
      <c r="CB61">
        <v>6.1619999999999999</v>
      </c>
      <c r="CC61">
        <v>7.93</v>
      </c>
      <c r="CD61">
        <v>7.7779999999999996</v>
      </c>
      <c r="CE61">
        <v>5.641</v>
      </c>
      <c r="CF61">
        <v>7.5439999999999996</v>
      </c>
      <c r="CG61">
        <v>8.1229999999999993</v>
      </c>
      <c r="CH61">
        <v>6.1609999999999996</v>
      </c>
      <c r="CI61">
        <v>4.9009999999999998</v>
      </c>
      <c r="CJ61">
        <v>9.0630000000000006</v>
      </c>
      <c r="CK61">
        <v>8.3800000000000008</v>
      </c>
      <c r="CL61">
        <v>10.682</v>
      </c>
      <c r="CM61">
        <v>7.8940000000000001</v>
      </c>
      <c r="CN61">
        <v>9.3699999999999992</v>
      </c>
      <c r="CO61">
        <v>9.2089999999999996</v>
      </c>
      <c r="CP61">
        <v>0.80200000000000005</v>
      </c>
      <c r="CQ61">
        <v>3.258</v>
      </c>
      <c r="CR61">
        <v>8.4659999999999993</v>
      </c>
      <c r="CS61">
        <v>7.9420000000000002</v>
      </c>
      <c r="CT61">
        <v>2.2240000000000002</v>
      </c>
      <c r="CU61">
        <v>8.6159999999999997</v>
      </c>
      <c r="CV61">
        <v>-1.41</v>
      </c>
      <c r="CW61">
        <v>8.7449999999999992</v>
      </c>
      <c r="CX61">
        <v>8.3480000000000008</v>
      </c>
      <c r="CY61">
        <v>6.7149999999999999</v>
      </c>
      <c r="CZ61">
        <v>9.0190000000000001</v>
      </c>
      <c r="DA61">
        <v>7.5549999999999997</v>
      </c>
      <c r="DB61">
        <v>7.6619999999999999</v>
      </c>
      <c r="DC61">
        <v>6.72</v>
      </c>
      <c r="DD61">
        <v>8.3320000000000007</v>
      </c>
      <c r="DE61">
        <v>-0.628</v>
      </c>
      <c r="DF61">
        <v>7.4720000000000004</v>
      </c>
      <c r="DG61">
        <v>9.3800000000000008</v>
      </c>
      <c r="DH61">
        <v>7.4950000000000001</v>
      </c>
      <c r="DI61">
        <v>5.8410000000000002</v>
      </c>
      <c r="DJ61">
        <v>4.2380000000000004</v>
      </c>
      <c r="DK61">
        <v>9.16</v>
      </c>
      <c r="DL61">
        <v>7.4640000000000004</v>
      </c>
      <c r="DM61">
        <v>7.6150000000000002</v>
      </c>
      <c r="DN61">
        <v>9.5909999999999993</v>
      </c>
      <c r="DO61">
        <v>7.8710000000000004</v>
      </c>
      <c r="DP61">
        <v>9.1890000000000001</v>
      </c>
      <c r="DQ61">
        <v>-0.318</v>
      </c>
      <c r="DR61">
        <v>10.401999999999999</v>
      </c>
      <c r="DS61">
        <v>7.4409999999999998</v>
      </c>
      <c r="DT61">
        <v>9.8390000000000004</v>
      </c>
      <c r="DU61">
        <v>10.616</v>
      </c>
      <c r="DV61">
        <v>7.4649999999999999</v>
      </c>
      <c r="DW61">
        <v>7.3330000000000002</v>
      </c>
      <c r="DX61">
        <v>5.6210000000000004</v>
      </c>
      <c r="DY61">
        <v>8.5609999999999999</v>
      </c>
      <c r="DZ61">
        <v>7.4390000000000001</v>
      </c>
      <c r="EA61">
        <v>8.2149999999999999</v>
      </c>
      <c r="EB61">
        <v>8.8179999999999996</v>
      </c>
      <c r="EC61">
        <v>8.4339999999999993</v>
      </c>
      <c r="ED61">
        <v>6.5380000000000003</v>
      </c>
      <c r="EE61">
        <v>8.407</v>
      </c>
      <c r="EF61">
        <v>7.8579999999999997</v>
      </c>
      <c r="EG61">
        <v>4.8970000000000002</v>
      </c>
      <c r="EH61">
        <v>10.833</v>
      </c>
      <c r="EI61">
        <v>6.3310000000000004</v>
      </c>
      <c r="EJ61">
        <v>3.16</v>
      </c>
      <c r="EK61">
        <v>10.436</v>
      </c>
      <c r="EL61">
        <v>2.5569999999999999</v>
      </c>
      <c r="EM61">
        <v>9.609</v>
      </c>
      <c r="EN61">
        <v>8.0410000000000004</v>
      </c>
      <c r="EO61">
        <v>10.946</v>
      </c>
      <c r="EP61">
        <v>4.5599999999999996</v>
      </c>
      <c r="EQ61">
        <v>1.792</v>
      </c>
      <c r="ER61">
        <v>8.7840000000000007</v>
      </c>
      <c r="ES61">
        <v>8.4019999999999992</v>
      </c>
      <c r="ET61">
        <v>8.7089999999999996</v>
      </c>
      <c r="EU61">
        <v>8.33</v>
      </c>
      <c r="EV61">
        <v>5.6909999999999998</v>
      </c>
      <c r="EW61">
        <v>8.4160000000000004</v>
      </c>
      <c r="EX61">
        <v>8.5269999999999992</v>
      </c>
      <c r="EY61">
        <v>6.0330000000000004</v>
      </c>
      <c r="EZ61">
        <v>7.3330000000000002</v>
      </c>
      <c r="FA61">
        <v>9.391</v>
      </c>
      <c r="FB61">
        <v>8.6999999999999993</v>
      </c>
      <c r="FC61">
        <v>8.7479999999999993</v>
      </c>
      <c r="FD61">
        <v>8.1560000000000006</v>
      </c>
      <c r="FE61">
        <v>6.6769999999999996</v>
      </c>
      <c r="FF61">
        <v>6.1749999999999998</v>
      </c>
      <c r="FG61">
        <v>5.2279999999999998</v>
      </c>
      <c r="FH61">
        <v>3.8239999999999998</v>
      </c>
      <c r="FI61">
        <v>8.09</v>
      </c>
      <c r="FJ61">
        <v>7.56</v>
      </c>
      <c r="FK61">
        <v>2.1269999999999998</v>
      </c>
      <c r="FL61">
        <v>7.7670000000000003</v>
      </c>
      <c r="FM61">
        <v>7.5819999999999999</v>
      </c>
      <c r="FN61">
        <v>7.5579999999999998</v>
      </c>
      <c r="FO61">
        <v>7.44</v>
      </c>
      <c r="FP61">
        <v>7.2359999999999998</v>
      </c>
      <c r="FQ61">
        <v>6.2210000000000001</v>
      </c>
      <c r="FR61">
        <v>8.1170000000000009</v>
      </c>
      <c r="FS61">
        <v>5.2210000000000001</v>
      </c>
      <c r="FT61">
        <v>9.2609999999999992</v>
      </c>
      <c r="FU61">
        <v>8.2240000000000002</v>
      </c>
      <c r="FV61">
        <v>8.1229999999999993</v>
      </c>
      <c r="FW61">
        <v>7.5609999999999999</v>
      </c>
      <c r="FX61">
        <v>-0.33900000000000002</v>
      </c>
      <c r="FY61">
        <v>9.0340000000000007</v>
      </c>
      <c r="FZ61">
        <v>3.1880000000000002</v>
      </c>
      <c r="GA61">
        <v>0.40400000000000003</v>
      </c>
      <c r="GB61">
        <v>3.4470000000000001</v>
      </c>
      <c r="GC61">
        <v>8.5609999999999999</v>
      </c>
      <c r="GD61">
        <v>5.58</v>
      </c>
      <c r="GE61">
        <v>6.7</v>
      </c>
      <c r="GF61">
        <v>7.99</v>
      </c>
      <c r="GG61">
        <v>6.8259999999999996</v>
      </c>
      <c r="GH61">
        <v>7.7709999999999999</v>
      </c>
      <c r="GI61">
        <v>10.117000000000001</v>
      </c>
      <c r="GJ61">
        <v>9.6170000000000009</v>
      </c>
      <c r="GK61">
        <v>8.3130000000000006</v>
      </c>
      <c r="GL61">
        <v>3.5640000000000001</v>
      </c>
      <c r="GM61">
        <v>6.3920000000000003</v>
      </c>
      <c r="GN61">
        <v>9.8759999999999994</v>
      </c>
      <c r="GO61">
        <v>7.3040000000000003</v>
      </c>
      <c r="GP61">
        <v>8.0749999999999993</v>
      </c>
      <c r="GQ61">
        <v>6.476</v>
      </c>
      <c r="GR61">
        <v>2.8940000000000001</v>
      </c>
      <c r="GS61">
        <v>8.3420000000000005</v>
      </c>
      <c r="GT61">
        <v>8.4459999999999997</v>
      </c>
      <c r="GU61">
        <v>1.546</v>
      </c>
      <c r="GV61">
        <v>9.8140000000000001</v>
      </c>
      <c r="GW61">
        <v>10.41</v>
      </c>
      <c r="GX61">
        <v>9.0719999999999992</v>
      </c>
      <c r="GY61">
        <v>8.2260000000000009</v>
      </c>
      <c r="GZ61">
        <v>8.4969999999999999</v>
      </c>
      <c r="HA61">
        <v>6.57</v>
      </c>
      <c r="HB61">
        <v>2.5369999999999999</v>
      </c>
      <c r="HC61">
        <v>2.1589999999999998</v>
      </c>
      <c r="HD61">
        <v>7.7210000000000001</v>
      </c>
      <c r="HE61">
        <v>8.9339999999999993</v>
      </c>
      <c r="HF61">
        <v>3.246</v>
      </c>
      <c r="HG61">
        <v>8.4749999999999996</v>
      </c>
      <c r="HH61">
        <v>4.9379999999999997</v>
      </c>
      <c r="HI61">
        <v>6.1849999999999996</v>
      </c>
      <c r="HJ61">
        <v>6.9089999999999998</v>
      </c>
      <c r="HK61">
        <v>9.9649999999999999</v>
      </c>
      <c r="HL61">
        <v>10.177</v>
      </c>
      <c r="HM61">
        <v>3.4790000000000001</v>
      </c>
      <c r="HN61">
        <v>7.6280000000000001</v>
      </c>
      <c r="HO61">
        <v>3.597</v>
      </c>
      <c r="HP61">
        <v>8.8710000000000004</v>
      </c>
      <c r="HQ61">
        <v>7.3810000000000002</v>
      </c>
      <c r="HR61">
        <v>3.3839999999999999</v>
      </c>
      <c r="HS61">
        <v>2.9630000000000001</v>
      </c>
      <c r="HT61">
        <v>6.3090000000000002</v>
      </c>
      <c r="HU61">
        <v>7.2039999999999997</v>
      </c>
      <c r="HV61">
        <v>6.4260000000000002</v>
      </c>
      <c r="HW61">
        <v>8.1289999999999996</v>
      </c>
      <c r="HX61">
        <v>7.7309999999999999</v>
      </c>
      <c r="HY61">
        <v>8.9410000000000007</v>
      </c>
      <c r="HZ61">
        <v>8.6219999999999999</v>
      </c>
      <c r="IA61">
        <v>8.3659999999999997</v>
      </c>
      <c r="IB61">
        <v>7.944</v>
      </c>
      <c r="IC61">
        <v>6.98</v>
      </c>
      <c r="ID61">
        <v>4.274</v>
      </c>
      <c r="IE61">
        <v>7.8070000000000004</v>
      </c>
      <c r="IF61">
        <v>9.8879999999999999</v>
      </c>
      <c r="IG61">
        <v>9.5830000000000002</v>
      </c>
      <c r="IH61">
        <v>5.6059999999999999</v>
      </c>
      <c r="II61">
        <v>8.3149999999999995</v>
      </c>
      <c r="IJ61">
        <v>7.4580000000000002</v>
      </c>
      <c r="IK61">
        <v>7.99</v>
      </c>
      <c r="IL61">
        <v>10.613</v>
      </c>
      <c r="IM61">
        <v>8.3350000000000009</v>
      </c>
      <c r="IN61">
        <v>7.399</v>
      </c>
      <c r="IO61">
        <v>7.8010000000000002</v>
      </c>
      <c r="IP61">
        <v>8.218</v>
      </c>
      <c r="IQ61">
        <v>2.2000000000000002</v>
      </c>
      <c r="IR61">
        <v>6.7690000000000001</v>
      </c>
      <c r="IS61">
        <v>8.1750000000000007</v>
      </c>
      <c r="IT61">
        <v>8.8710000000000004</v>
      </c>
      <c r="IU61">
        <v>8.36</v>
      </c>
      <c r="IV61">
        <v>7.4740000000000002</v>
      </c>
      <c r="IW61">
        <v>3.7440000000000002</v>
      </c>
      <c r="IX61">
        <v>8.1080000000000005</v>
      </c>
      <c r="IY61">
        <v>8.07</v>
      </c>
      <c r="IZ61">
        <v>7.3949999999999996</v>
      </c>
      <c r="JA61">
        <v>8.8219999999999992</v>
      </c>
      <c r="JB61">
        <v>7.2560000000000002</v>
      </c>
      <c r="JC61">
        <v>7.8579999999999997</v>
      </c>
      <c r="JD61">
        <v>7.5519999999999996</v>
      </c>
      <c r="JE61">
        <v>5.2640000000000002</v>
      </c>
      <c r="JF61">
        <v>8.3450000000000006</v>
      </c>
      <c r="JG61">
        <v>10.14</v>
      </c>
      <c r="JH61">
        <v>7.5720000000000001</v>
      </c>
      <c r="JI61">
        <v>2.1760000000000002</v>
      </c>
      <c r="JJ61">
        <v>7.5410000000000004</v>
      </c>
      <c r="JK61">
        <v>2.5339999999999998</v>
      </c>
      <c r="JL61">
        <v>7.68</v>
      </c>
      <c r="JM61">
        <v>9.032</v>
      </c>
      <c r="JN61">
        <v>8.0109999999999992</v>
      </c>
      <c r="JO61">
        <v>8.4760000000000009</v>
      </c>
      <c r="JP61">
        <v>3.1850000000000001</v>
      </c>
      <c r="JQ61">
        <v>7.923</v>
      </c>
      <c r="JR61">
        <v>7.718</v>
      </c>
      <c r="JS61">
        <v>8.3179999999999996</v>
      </c>
      <c r="JT61">
        <v>7.5049999999999999</v>
      </c>
      <c r="JU61">
        <v>7.8570000000000002</v>
      </c>
      <c r="JV61">
        <v>7.5970000000000004</v>
      </c>
      <c r="JW61">
        <v>10.164999999999999</v>
      </c>
      <c r="JX61">
        <v>7.6740000000000004</v>
      </c>
      <c r="JY61">
        <v>3.524</v>
      </c>
      <c r="JZ61">
        <v>3.1840000000000002</v>
      </c>
      <c r="KA61">
        <v>6.4470000000000001</v>
      </c>
      <c r="KB61">
        <v>7.6859999999999999</v>
      </c>
      <c r="KC61">
        <v>7.79</v>
      </c>
      <c r="KD61">
        <v>7.915</v>
      </c>
      <c r="KE61">
        <v>4.218</v>
      </c>
      <c r="KF61">
        <v>1.7869999999999999</v>
      </c>
      <c r="KG61">
        <v>10.061</v>
      </c>
      <c r="KH61">
        <v>10.403</v>
      </c>
      <c r="KI61">
        <v>8.5350000000000001</v>
      </c>
      <c r="KJ61">
        <v>7.5149999999999997</v>
      </c>
      <c r="KK61">
        <v>8.8109999999999999</v>
      </c>
      <c r="KL61">
        <v>4.0190000000000001</v>
      </c>
      <c r="KM61">
        <v>3.9470000000000001</v>
      </c>
      <c r="KN61">
        <v>8.02</v>
      </c>
      <c r="KO61">
        <v>7.27</v>
      </c>
      <c r="KP61">
        <v>4.9880000000000004</v>
      </c>
      <c r="KQ61">
        <v>1.131</v>
      </c>
      <c r="KR61">
        <v>1.2110000000000001</v>
      </c>
    </row>
    <row r="62" spans="1:304" x14ac:dyDescent="0.25">
      <c r="A62">
        <v>2018</v>
      </c>
      <c r="B62">
        <v>11</v>
      </c>
      <c r="C62">
        <v>9.7000000000000003E-2</v>
      </c>
      <c r="D62">
        <v>4.306</v>
      </c>
      <c r="E62">
        <v>4.6669999999999998</v>
      </c>
      <c r="F62">
        <v>4.0839999999999996</v>
      </c>
      <c r="G62">
        <v>3.8490000000000002</v>
      </c>
      <c r="H62">
        <v>3.3330000000000002</v>
      </c>
      <c r="I62">
        <v>-2.1680000000000001</v>
      </c>
      <c r="J62">
        <v>-1.9950000000000001</v>
      </c>
      <c r="K62">
        <v>2.7749999999999999</v>
      </c>
      <c r="L62">
        <v>3.2770000000000001</v>
      </c>
      <c r="M62">
        <v>2.3809999999999998</v>
      </c>
      <c r="N62">
        <v>3.2730000000000001</v>
      </c>
      <c r="O62">
        <v>-0.58199999999999996</v>
      </c>
      <c r="P62">
        <v>5.0620000000000003</v>
      </c>
      <c r="Q62">
        <v>-1.9259999999999999</v>
      </c>
      <c r="R62">
        <v>3.8410000000000002</v>
      </c>
      <c r="S62">
        <v>1.4710000000000001</v>
      </c>
      <c r="T62">
        <v>5.3730000000000002</v>
      </c>
      <c r="U62">
        <v>1.9870000000000001</v>
      </c>
      <c r="V62">
        <v>3.4849999999999999</v>
      </c>
      <c r="W62">
        <v>3.887</v>
      </c>
      <c r="X62">
        <v>4.601</v>
      </c>
      <c r="Y62">
        <v>5.1890000000000001</v>
      </c>
      <c r="Z62">
        <v>-0.72699999999999998</v>
      </c>
      <c r="AA62">
        <v>5.6870000000000003</v>
      </c>
      <c r="AB62">
        <v>5.157</v>
      </c>
      <c r="AC62">
        <v>2.1240000000000001</v>
      </c>
      <c r="AD62">
        <v>3.37</v>
      </c>
      <c r="AE62">
        <v>4.2930000000000001</v>
      </c>
      <c r="AF62">
        <v>2.5859999999999999</v>
      </c>
      <c r="AG62">
        <v>1.423</v>
      </c>
      <c r="AH62">
        <v>-2.3450000000000002</v>
      </c>
      <c r="AI62">
        <v>0.98599999999999999</v>
      </c>
      <c r="AJ62">
        <v>3.069</v>
      </c>
      <c r="AK62">
        <v>3.7109999999999999</v>
      </c>
      <c r="AL62">
        <v>3.218</v>
      </c>
      <c r="AM62">
        <v>3.42</v>
      </c>
      <c r="AN62">
        <v>5.085</v>
      </c>
      <c r="AO62">
        <v>3.706</v>
      </c>
      <c r="AP62">
        <v>2.3660000000000001</v>
      </c>
      <c r="AQ62">
        <v>5.4349999999999996</v>
      </c>
      <c r="AR62">
        <v>3.2210000000000001</v>
      </c>
      <c r="AS62">
        <v>6.859</v>
      </c>
      <c r="AT62">
        <v>2.1890000000000001</v>
      </c>
      <c r="AU62">
        <v>2.2650000000000001</v>
      </c>
      <c r="AV62">
        <v>2.9009999999999998</v>
      </c>
      <c r="AW62">
        <v>3.1930000000000001</v>
      </c>
      <c r="AX62">
        <v>3.3370000000000002</v>
      </c>
      <c r="AY62">
        <v>2.92</v>
      </c>
      <c r="AZ62">
        <v>-1.6819999999999999</v>
      </c>
      <c r="BA62">
        <v>3.8039999999999998</v>
      </c>
      <c r="BB62">
        <v>-0.68400000000000005</v>
      </c>
      <c r="BC62">
        <v>1.4930000000000001</v>
      </c>
      <c r="BD62">
        <v>3.5680000000000001</v>
      </c>
      <c r="BE62">
        <v>3.431</v>
      </c>
      <c r="BF62">
        <v>4.0549999999999997</v>
      </c>
      <c r="BG62">
        <v>-2.6480000000000001</v>
      </c>
      <c r="BH62">
        <v>-3.165</v>
      </c>
      <c r="BI62">
        <v>3.1</v>
      </c>
      <c r="BJ62">
        <v>5.1710000000000003</v>
      </c>
      <c r="BK62">
        <v>3.7469999999999999</v>
      </c>
      <c r="BL62">
        <v>3.8260000000000001</v>
      </c>
      <c r="BM62">
        <v>1.7150000000000001</v>
      </c>
      <c r="BN62">
        <v>3.0790000000000002</v>
      </c>
      <c r="BO62">
        <v>2.806</v>
      </c>
      <c r="BP62">
        <v>5.3289999999999997</v>
      </c>
      <c r="BQ62">
        <v>-1.2350000000000001</v>
      </c>
      <c r="BR62">
        <v>4.2510000000000003</v>
      </c>
      <c r="BS62">
        <v>3.9180000000000001</v>
      </c>
      <c r="BT62">
        <v>0.80800000000000005</v>
      </c>
      <c r="BU62">
        <v>-1.526</v>
      </c>
      <c r="BV62">
        <v>2.1760000000000002</v>
      </c>
      <c r="BW62">
        <v>5.4059999999999997</v>
      </c>
      <c r="BX62">
        <v>-1.1619999999999999</v>
      </c>
      <c r="BY62">
        <v>5.0609999999999999</v>
      </c>
      <c r="BZ62">
        <v>3.4780000000000002</v>
      </c>
      <c r="CA62">
        <v>4.3090000000000002</v>
      </c>
      <c r="CB62">
        <v>2.2559999999999998</v>
      </c>
      <c r="CC62">
        <v>3.5230000000000001</v>
      </c>
      <c r="CD62">
        <v>4.0119999999999996</v>
      </c>
      <c r="CE62">
        <v>2.173</v>
      </c>
      <c r="CF62">
        <v>3.4430000000000001</v>
      </c>
      <c r="CG62">
        <v>3.9710000000000001</v>
      </c>
      <c r="CH62">
        <v>2.0819999999999999</v>
      </c>
      <c r="CI62">
        <v>1.778</v>
      </c>
      <c r="CJ62">
        <v>4.577</v>
      </c>
      <c r="CK62">
        <v>4.2750000000000004</v>
      </c>
      <c r="CL62">
        <v>5.7080000000000002</v>
      </c>
      <c r="CM62">
        <v>3.8479999999999999</v>
      </c>
      <c r="CN62">
        <v>4.7619999999999996</v>
      </c>
      <c r="CO62">
        <v>4.7069999999999999</v>
      </c>
      <c r="CP62">
        <v>-3.391</v>
      </c>
      <c r="CQ62">
        <v>-2.1890000000000001</v>
      </c>
      <c r="CR62">
        <v>4.38</v>
      </c>
      <c r="CS62">
        <v>3.7069999999999999</v>
      </c>
      <c r="CT62">
        <v>-0.34799999999999998</v>
      </c>
      <c r="CU62">
        <v>5.0880000000000001</v>
      </c>
      <c r="CV62">
        <v>-1.81</v>
      </c>
      <c r="CW62">
        <v>4.43</v>
      </c>
      <c r="CX62">
        <v>4.851</v>
      </c>
      <c r="CY62">
        <v>2.4249999999999998</v>
      </c>
      <c r="CZ62">
        <v>5.2930000000000001</v>
      </c>
      <c r="DA62">
        <v>3.7679999999999998</v>
      </c>
      <c r="DB62">
        <v>3.3359999999999999</v>
      </c>
      <c r="DC62">
        <v>2.9119999999999999</v>
      </c>
      <c r="DD62">
        <v>4.1070000000000002</v>
      </c>
      <c r="DE62">
        <v>-1.4279999999999999</v>
      </c>
      <c r="DF62">
        <v>3.2370000000000001</v>
      </c>
      <c r="DG62">
        <v>4.8029999999999999</v>
      </c>
      <c r="DH62">
        <v>3.4670000000000001</v>
      </c>
      <c r="DI62">
        <v>1.853</v>
      </c>
      <c r="DJ62">
        <v>4.7E-2</v>
      </c>
      <c r="DK62">
        <v>4.9880000000000004</v>
      </c>
      <c r="DL62">
        <v>3.282</v>
      </c>
      <c r="DM62">
        <v>3.08</v>
      </c>
      <c r="DN62">
        <v>5.1150000000000002</v>
      </c>
      <c r="DO62">
        <v>3.3559999999999999</v>
      </c>
      <c r="DP62">
        <v>4.8780000000000001</v>
      </c>
      <c r="DQ62">
        <v>-2.3849999999999998</v>
      </c>
      <c r="DR62">
        <v>5.3730000000000002</v>
      </c>
      <c r="DS62">
        <v>3.01</v>
      </c>
      <c r="DT62">
        <v>4.9909999999999997</v>
      </c>
      <c r="DU62">
        <v>5.6920000000000002</v>
      </c>
      <c r="DV62">
        <v>3.0379999999999998</v>
      </c>
      <c r="DW62">
        <v>2.8759999999999999</v>
      </c>
      <c r="DX62">
        <v>1.661</v>
      </c>
      <c r="DY62">
        <v>4.2990000000000004</v>
      </c>
      <c r="DZ62">
        <v>3.653</v>
      </c>
      <c r="EA62">
        <v>4.2670000000000003</v>
      </c>
      <c r="EB62">
        <v>4.1849999999999996</v>
      </c>
      <c r="EC62">
        <v>4.1520000000000001</v>
      </c>
      <c r="ED62">
        <v>2.3250000000000002</v>
      </c>
      <c r="EE62">
        <v>3.75</v>
      </c>
      <c r="EF62">
        <v>3.992</v>
      </c>
      <c r="EG62">
        <v>0.79300000000000004</v>
      </c>
      <c r="EH62">
        <v>5.6909999999999998</v>
      </c>
      <c r="EI62">
        <v>2.0750000000000002</v>
      </c>
      <c r="EJ62">
        <v>6.3E-2</v>
      </c>
      <c r="EK62">
        <v>5.3860000000000001</v>
      </c>
      <c r="EL62">
        <v>-2.5129999999999999</v>
      </c>
      <c r="EM62">
        <v>5.2770000000000001</v>
      </c>
      <c r="EN62">
        <v>3.39</v>
      </c>
      <c r="EO62">
        <v>5.8460000000000001</v>
      </c>
      <c r="EP62">
        <v>0.502</v>
      </c>
      <c r="EQ62">
        <v>-2.1230000000000002</v>
      </c>
      <c r="ER62">
        <v>4.0999999999999996</v>
      </c>
      <c r="ES62">
        <v>4.2649999999999997</v>
      </c>
      <c r="ET62">
        <v>4.4269999999999996</v>
      </c>
      <c r="EU62">
        <v>3.63</v>
      </c>
      <c r="EV62">
        <v>1.615</v>
      </c>
      <c r="EW62">
        <v>3.79</v>
      </c>
      <c r="EX62">
        <v>4.2889999999999997</v>
      </c>
      <c r="EY62">
        <v>2.266</v>
      </c>
      <c r="EZ62">
        <v>3.2770000000000001</v>
      </c>
      <c r="FA62">
        <v>4.859</v>
      </c>
      <c r="FB62">
        <v>4.7530000000000001</v>
      </c>
      <c r="FC62">
        <v>5.2329999999999997</v>
      </c>
      <c r="FD62">
        <v>4.2670000000000003</v>
      </c>
      <c r="FE62">
        <v>2.3570000000000002</v>
      </c>
      <c r="FF62">
        <v>1.9930000000000001</v>
      </c>
      <c r="FG62">
        <v>1.7010000000000001</v>
      </c>
      <c r="FH62">
        <v>0.94099999999999995</v>
      </c>
      <c r="FI62">
        <v>3.6920000000000002</v>
      </c>
      <c r="FJ62">
        <v>3.6360000000000001</v>
      </c>
      <c r="FK62">
        <v>-1.895</v>
      </c>
      <c r="FL62">
        <v>3.9990000000000001</v>
      </c>
      <c r="FM62">
        <v>3.5630000000000002</v>
      </c>
      <c r="FN62">
        <v>3.7320000000000002</v>
      </c>
      <c r="FO62">
        <v>4.4009999999999998</v>
      </c>
      <c r="FP62">
        <v>2.9249999999999998</v>
      </c>
      <c r="FQ62">
        <v>2.3170000000000002</v>
      </c>
      <c r="FR62">
        <v>4.452</v>
      </c>
      <c r="FS62">
        <v>1.26</v>
      </c>
      <c r="FT62">
        <v>4.8550000000000004</v>
      </c>
      <c r="FU62">
        <v>4.3070000000000004</v>
      </c>
      <c r="FV62">
        <v>4.181</v>
      </c>
      <c r="FW62">
        <v>4.1070000000000002</v>
      </c>
      <c r="FX62">
        <v>-1.901</v>
      </c>
      <c r="FY62">
        <v>4.63</v>
      </c>
      <c r="FZ62">
        <v>-0.253</v>
      </c>
      <c r="GA62">
        <v>0.21099999999999999</v>
      </c>
      <c r="GB62">
        <v>0.68500000000000005</v>
      </c>
      <c r="GC62">
        <v>4.9240000000000004</v>
      </c>
      <c r="GD62">
        <v>1.6759999999999999</v>
      </c>
      <c r="GE62">
        <v>2.464</v>
      </c>
      <c r="GF62">
        <v>4.0250000000000004</v>
      </c>
      <c r="GG62">
        <v>2.6760000000000002</v>
      </c>
      <c r="GH62">
        <v>3.7320000000000002</v>
      </c>
      <c r="GI62">
        <v>6.1630000000000003</v>
      </c>
      <c r="GJ62">
        <v>4.976</v>
      </c>
      <c r="GK62">
        <v>3.6040000000000001</v>
      </c>
      <c r="GL62">
        <v>0.107</v>
      </c>
      <c r="GM62">
        <v>2.3279999999999998</v>
      </c>
      <c r="GN62">
        <v>5.5410000000000004</v>
      </c>
      <c r="GO62">
        <v>3.4369999999999998</v>
      </c>
      <c r="GP62">
        <v>3.1890000000000001</v>
      </c>
      <c r="GQ62">
        <v>2.2000000000000002</v>
      </c>
      <c r="GR62">
        <v>-1.9350000000000001</v>
      </c>
      <c r="GS62">
        <v>4.2590000000000003</v>
      </c>
      <c r="GT62">
        <v>4.3869999999999996</v>
      </c>
      <c r="GU62">
        <v>-2.8260000000000001</v>
      </c>
      <c r="GV62">
        <v>5.649</v>
      </c>
      <c r="GW62">
        <v>5.399</v>
      </c>
      <c r="GX62">
        <v>4.7290000000000001</v>
      </c>
      <c r="GY62">
        <v>4.266</v>
      </c>
      <c r="GZ62">
        <v>4.4169999999999998</v>
      </c>
      <c r="HA62">
        <v>2.488</v>
      </c>
      <c r="HB62">
        <v>-0.24099999999999999</v>
      </c>
      <c r="HC62">
        <v>-2.0219999999999998</v>
      </c>
      <c r="HD62">
        <v>3.3439999999999999</v>
      </c>
      <c r="HE62">
        <v>4.7969999999999997</v>
      </c>
      <c r="HF62">
        <v>-1.2390000000000001</v>
      </c>
      <c r="HG62">
        <v>4.3929999999999998</v>
      </c>
      <c r="HH62">
        <v>1.3</v>
      </c>
      <c r="HI62">
        <v>2.52</v>
      </c>
      <c r="HJ62">
        <v>2.593</v>
      </c>
      <c r="HK62">
        <v>5.0529999999999999</v>
      </c>
      <c r="HL62">
        <v>5.4429999999999996</v>
      </c>
      <c r="HM62">
        <v>-0.997</v>
      </c>
      <c r="HN62">
        <v>3.4689999999999999</v>
      </c>
      <c r="HO62">
        <v>-0.70799999999999996</v>
      </c>
      <c r="HP62">
        <v>4.51</v>
      </c>
      <c r="HQ62">
        <v>3.5630000000000002</v>
      </c>
      <c r="HR62">
        <v>-0.373</v>
      </c>
      <c r="HS62">
        <v>-1.5660000000000001</v>
      </c>
      <c r="HT62">
        <v>2.0419999999999998</v>
      </c>
      <c r="HU62">
        <v>3.262</v>
      </c>
      <c r="HV62">
        <v>2.8130000000000002</v>
      </c>
      <c r="HW62">
        <v>3.6989999999999998</v>
      </c>
      <c r="HX62">
        <v>3.8029999999999999</v>
      </c>
      <c r="HY62">
        <v>5.359</v>
      </c>
      <c r="HZ62">
        <v>4.4329999999999998</v>
      </c>
      <c r="IA62">
        <v>3.5720000000000001</v>
      </c>
      <c r="IB62">
        <v>3.302</v>
      </c>
      <c r="IC62">
        <v>2.871</v>
      </c>
      <c r="ID62">
        <v>0.51100000000000001</v>
      </c>
      <c r="IE62">
        <v>3.9260000000000002</v>
      </c>
      <c r="IF62">
        <v>5.6749999999999998</v>
      </c>
      <c r="IG62">
        <v>5.1449999999999996</v>
      </c>
      <c r="IH62">
        <v>1.9239999999999999</v>
      </c>
      <c r="II62">
        <v>4.641</v>
      </c>
      <c r="IJ62">
        <v>3.3780000000000001</v>
      </c>
      <c r="IK62">
        <v>3.3010000000000002</v>
      </c>
      <c r="IL62">
        <v>6.3250000000000002</v>
      </c>
      <c r="IM62">
        <v>4.0449999999999999</v>
      </c>
      <c r="IN62">
        <v>3.9129999999999998</v>
      </c>
      <c r="IO62">
        <v>4.149</v>
      </c>
      <c r="IP62">
        <v>4.1740000000000004</v>
      </c>
      <c r="IQ62">
        <v>-1.349</v>
      </c>
      <c r="IR62">
        <v>2.5419999999999998</v>
      </c>
      <c r="IS62">
        <v>3.649</v>
      </c>
      <c r="IT62">
        <v>4.5599999999999996</v>
      </c>
      <c r="IU62">
        <v>4.2670000000000003</v>
      </c>
      <c r="IV62">
        <v>3.1840000000000002</v>
      </c>
      <c r="IW62">
        <v>0.83899999999999997</v>
      </c>
      <c r="IX62">
        <v>4.0670000000000002</v>
      </c>
      <c r="IY62">
        <v>4.0129999999999999</v>
      </c>
      <c r="IZ62">
        <v>3.31</v>
      </c>
      <c r="JA62">
        <v>4.1950000000000003</v>
      </c>
      <c r="JB62">
        <v>3.464</v>
      </c>
      <c r="JC62">
        <v>3.8039999999999998</v>
      </c>
      <c r="JD62">
        <v>3.55</v>
      </c>
      <c r="JE62">
        <v>0.95299999999999996</v>
      </c>
      <c r="JF62">
        <v>3.7909999999999999</v>
      </c>
      <c r="JG62">
        <v>5.5019999999999998</v>
      </c>
      <c r="JH62">
        <v>3.282</v>
      </c>
      <c r="JI62">
        <v>-2.8090000000000002</v>
      </c>
      <c r="JJ62">
        <v>3.42</v>
      </c>
      <c r="JK62">
        <v>-1.423</v>
      </c>
      <c r="JL62">
        <v>3.3279999999999998</v>
      </c>
      <c r="JM62">
        <v>5.2640000000000002</v>
      </c>
      <c r="JN62">
        <v>3.5760000000000001</v>
      </c>
      <c r="JO62">
        <v>4.2</v>
      </c>
      <c r="JP62">
        <v>-0.11</v>
      </c>
      <c r="JQ62">
        <v>4.2249999999999996</v>
      </c>
      <c r="JR62">
        <v>3.7850000000000001</v>
      </c>
      <c r="JS62">
        <v>4.5220000000000002</v>
      </c>
      <c r="JT62">
        <v>3.2</v>
      </c>
      <c r="JU62">
        <v>3.843</v>
      </c>
      <c r="JV62">
        <v>3.1320000000000001</v>
      </c>
      <c r="JW62">
        <v>6.0750000000000002</v>
      </c>
      <c r="JX62">
        <v>3.8029999999999999</v>
      </c>
      <c r="JY62">
        <v>-0.84299999999999997</v>
      </c>
      <c r="JZ62">
        <v>-0.32200000000000001</v>
      </c>
      <c r="KA62">
        <v>2.891</v>
      </c>
      <c r="KB62">
        <v>3.2570000000000001</v>
      </c>
      <c r="KC62">
        <v>3.4049999999999998</v>
      </c>
      <c r="KD62">
        <v>3.972</v>
      </c>
      <c r="KE62">
        <v>0.184</v>
      </c>
      <c r="KF62">
        <v>-2.3820000000000001</v>
      </c>
      <c r="KG62">
        <v>5.1159999999999997</v>
      </c>
      <c r="KH62">
        <v>6.0629999999999997</v>
      </c>
      <c r="KI62">
        <v>3.96</v>
      </c>
      <c r="KJ62">
        <v>2.9990000000000001</v>
      </c>
      <c r="KK62">
        <v>4.468</v>
      </c>
      <c r="KL62">
        <v>0.70699999999999996</v>
      </c>
      <c r="KM62">
        <v>0.29699999999999999</v>
      </c>
      <c r="KN62">
        <v>4.1769999999999996</v>
      </c>
      <c r="KO62">
        <v>3.4649999999999999</v>
      </c>
      <c r="KP62">
        <v>1.3819999999999999</v>
      </c>
      <c r="KQ62">
        <v>-2.0430000000000001</v>
      </c>
      <c r="KR62">
        <v>-1.2390000000000001</v>
      </c>
    </row>
    <row r="63" spans="1:304" x14ac:dyDescent="0.25">
      <c r="A63">
        <v>2018</v>
      </c>
      <c r="B63">
        <v>12</v>
      </c>
      <c r="C63">
        <v>-5.1440000000000001</v>
      </c>
      <c r="D63">
        <v>0.56100000000000005</v>
      </c>
      <c r="E63">
        <v>2.0019999999999998</v>
      </c>
      <c r="F63">
        <v>1.4039999999999999</v>
      </c>
      <c r="G63">
        <v>1.413</v>
      </c>
      <c r="H63">
        <v>-0.27700000000000002</v>
      </c>
      <c r="I63">
        <v>-8.5779999999999994</v>
      </c>
      <c r="J63">
        <v>-7.4260000000000002</v>
      </c>
      <c r="K63">
        <v>-2.109</v>
      </c>
      <c r="L63">
        <v>-3.3000000000000002E-2</v>
      </c>
      <c r="M63">
        <v>-1.663</v>
      </c>
      <c r="N63">
        <v>-0.33300000000000002</v>
      </c>
      <c r="O63">
        <v>-5.2060000000000004</v>
      </c>
      <c r="P63">
        <v>3.4180000000000001</v>
      </c>
      <c r="Q63">
        <v>-9.6259999999999994</v>
      </c>
      <c r="R63">
        <v>1.2490000000000001</v>
      </c>
      <c r="S63">
        <v>-3.9209999999999998</v>
      </c>
      <c r="T63">
        <v>2.4729999999999999</v>
      </c>
      <c r="U63">
        <v>-2.7269999999999999</v>
      </c>
      <c r="V63">
        <v>0.75600000000000001</v>
      </c>
      <c r="W63">
        <v>0.17199999999999999</v>
      </c>
      <c r="X63">
        <v>2.4929999999999999</v>
      </c>
      <c r="Y63">
        <v>3.1120000000000001</v>
      </c>
      <c r="Z63">
        <v>-5.9989999999999997</v>
      </c>
      <c r="AA63">
        <v>3.9750000000000001</v>
      </c>
      <c r="AB63">
        <v>3.2280000000000002</v>
      </c>
      <c r="AC63">
        <v>-3.46</v>
      </c>
      <c r="AD63">
        <v>-0.124</v>
      </c>
      <c r="AE63">
        <v>0.64900000000000002</v>
      </c>
      <c r="AF63">
        <v>-1.069</v>
      </c>
      <c r="AG63">
        <v>-3.7909999999999999</v>
      </c>
      <c r="AH63">
        <v>-6.9089999999999998</v>
      </c>
      <c r="AI63">
        <v>-5.0810000000000004</v>
      </c>
      <c r="AJ63">
        <v>0.17499999999999999</v>
      </c>
      <c r="AK63">
        <v>1.3080000000000001</v>
      </c>
      <c r="AL63">
        <v>-0.36699999999999999</v>
      </c>
      <c r="AM63">
        <v>-0.14399999999999999</v>
      </c>
      <c r="AN63">
        <v>3.4129999999999998</v>
      </c>
      <c r="AO63">
        <v>0.997</v>
      </c>
      <c r="AP63">
        <v>-1.782</v>
      </c>
      <c r="AQ63">
        <v>3.121</v>
      </c>
      <c r="AR63">
        <v>0.48299999999999998</v>
      </c>
      <c r="AS63">
        <v>4.6980000000000004</v>
      </c>
      <c r="AT63">
        <v>-2.758</v>
      </c>
      <c r="AU63">
        <v>-2.2280000000000002</v>
      </c>
      <c r="AV63">
        <v>-0.86</v>
      </c>
      <c r="AW63">
        <v>0.10299999999999999</v>
      </c>
      <c r="AX63">
        <v>-6.0999999999999999E-2</v>
      </c>
      <c r="AY63">
        <v>-1.71</v>
      </c>
      <c r="AZ63">
        <v>-6.4139999999999997</v>
      </c>
      <c r="BA63">
        <v>0.64500000000000002</v>
      </c>
      <c r="BB63">
        <v>-5.3150000000000004</v>
      </c>
      <c r="BC63">
        <v>-3.4870000000000001</v>
      </c>
      <c r="BD63">
        <v>1.109</v>
      </c>
      <c r="BE63">
        <v>-2.4E-2</v>
      </c>
      <c r="BF63">
        <v>1.2070000000000001</v>
      </c>
      <c r="BG63">
        <v>-7.2869999999999999</v>
      </c>
      <c r="BH63">
        <v>-9.2469999999999999</v>
      </c>
      <c r="BI63">
        <v>-0.90600000000000003</v>
      </c>
      <c r="BJ63">
        <v>2.653</v>
      </c>
      <c r="BK63">
        <v>0.95199999999999996</v>
      </c>
      <c r="BL63">
        <v>0.16500000000000001</v>
      </c>
      <c r="BM63">
        <v>-3.6280000000000001</v>
      </c>
      <c r="BN63">
        <v>-0.16700000000000001</v>
      </c>
      <c r="BO63">
        <v>-0.9</v>
      </c>
      <c r="BP63">
        <v>3.0750000000000002</v>
      </c>
      <c r="BQ63">
        <v>-5.8769999999999998</v>
      </c>
      <c r="BR63">
        <v>2.9000000000000001E-2</v>
      </c>
      <c r="BS63">
        <v>0.28999999999999998</v>
      </c>
      <c r="BT63">
        <v>-5.87</v>
      </c>
      <c r="BU63">
        <v>-6.1319999999999997</v>
      </c>
      <c r="BV63">
        <v>-2.0369999999999999</v>
      </c>
      <c r="BW63">
        <v>3.7109999999999999</v>
      </c>
      <c r="BX63">
        <v>-6.3479999999999999</v>
      </c>
      <c r="BY63">
        <v>2.0670000000000002</v>
      </c>
      <c r="BZ63">
        <v>0.83599999999999997</v>
      </c>
      <c r="CA63">
        <v>1.5369999999999999</v>
      </c>
      <c r="CB63">
        <v>-2.242</v>
      </c>
      <c r="CC63">
        <v>0.34</v>
      </c>
      <c r="CD63">
        <v>0.30599999999999999</v>
      </c>
      <c r="CE63">
        <v>-1.8959999999999999</v>
      </c>
      <c r="CF63">
        <v>0.69099999999999995</v>
      </c>
      <c r="CG63">
        <v>1.8360000000000001</v>
      </c>
      <c r="CH63">
        <v>-2.2930000000000001</v>
      </c>
      <c r="CI63">
        <v>-1.619</v>
      </c>
      <c r="CJ63">
        <v>2.0489999999999999</v>
      </c>
      <c r="CK63">
        <v>2.56</v>
      </c>
      <c r="CL63">
        <v>3.8140000000000001</v>
      </c>
      <c r="CM63">
        <v>1.163</v>
      </c>
      <c r="CN63">
        <v>2.9489999999999998</v>
      </c>
      <c r="CO63">
        <v>3.0179999999999998</v>
      </c>
      <c r="CP63">
        <v>-10.569000000000001</v>
      </c>
      <c r="CQ63">
        <v>-6.6669999999999998</v>
      </c>
      <c r="CR63">
        <v>0.66700000000000004</v>
      </c>
      <c r="CS63">
        <v>0.88500000000000001</v>
      </c>
      <c r="CT63">
        <v>-7.5960000000000001</v>
      </c>
      <c r="CU63">
        <v>2.2160000000000002</v>
      </c>
      <c r="CV63">
        <v>-10.382</v>
      </c>
      <c r="CW63">
        <v>1.335</v>
      </c>
      <c r="CX63">
        <v>2.7130000000000001</v>
      </c>
      <c r="CY63">
        <v>-1.357</v>
      </c>
      <c r="CZ63">
        <v>2.7509999999999999</v>
      </c>
      <c r="DA63">
        <v>-0.626</v>
      </c>
      <c r="DB63">
        <v>5.8000000000000003E-2</v>
      </c>
      <c r="DC63">
        <v>-1.6779999999999999</v>
      </c>
      <c r="DD63">
        <v>1.56</v>
      </c>
      <c r="DE63">
        <v>-8.8970000000000002</v>
      </c>
      <c r="DF63">
        <v>0.435</v>
      </c>
      <c r="DG63">
        <v>3.181</v>
      </c>
      <c r="DH63">
        <v>-0.16200000000000001</v>
      </c>
      <c r="DI63">
        <v>-2.4180000000000001</v>
      </c>
      <c r="DJ63">
        <v>-3.7949999999999999</v>
      </c>
      <c r="DK63">
        <v>3.2650000000000001</v>
      </c>
      <c r="DL63">
        <v>-0.73899999999999999</v>
      </c>
      <c r="DM63">
        <v>-0.185</v>
      </c>
      <c r="DN63">
        <v>2.5880000000000001</v>
      </c>
      <c r="DO63">
        <v>-0.26</v>
      </c>
      <c r="DP63">
        <v>2.2269999999999999</v>
      </c>
      <c r="DQ63">
        <v>-8.0909999999999993</v>
      </c>
      <c r="DR63">
        <v>3.7280000000000002</v>
      </c>
      <c r="DS63">
        <v>-0.66100000000000003</v>
      </c>
      <c r="DT63">
        <v>3.0019999999999998</v>
      </c>
      <c r="DU63">
        <v>3.9550000000000001</v>
      </c>
      <c r="DV63">
        <v>-0.23300000000000001</v>
      </c>
      <c r="DW63">
        <v>-0.51900000000000002</v>
      </c>
      <c r="DX63">
        <v>-3.5590000000000002</v>
      </c>
      <c r="DY63">
        <v>1.724</v>
      </c>
      <c r="DZ63">
        <v>1.165</v>
      </c>
      <c r="EA63">
        <v>0.625</v>
      </c>
      <c r="EB63">
        <v>1.2549999999999999</v>
      </c>
      <c r="EC63">
        <v>1.4630000000000001</v>
      </c>
      <c r="ED63">
        <v>-1.583</v>
      </c>
      <c r="EE63">
        <v>0.73299999999999998</v>
      </c>
      <c r="EF63">
        <v>1.7210000000000001</v>
      </c>
      <c r="EG63">
        <v>-5.3220000000000001</v>
      </c>
      <c r="EH63">
        <v>3.984</v>
      </c>
      <c r="EI63">
        <v>-2.2759999999999998</v>
      </c>
      <c r="EJ63">
        <v>-7.0170000000000003</v>
      </c>
      <c r="EK63">
        <v>3.7160000000000002</v>
      </c>
      <c r="EL63">
        <v>-7.8</v>
      </c>
      <c r="EM63">
        <v>2.383</v>
      </c>
      <c r="EN63">
        <v>0.55700000000000005</v>
      </c>
      <c r="EO63">
        <v>4.0629999999999997</v>
      </c>
      <c r="EP63">
        <v>-5.7039999999999997</v>
      </c>
      <c r="EQ63">
        <v>-7.7670000000000003</v>
      </c>
      <c r="ER63">
        <v>1.2569999999999999</v>
      </c>
      <c r="ES63">
        <v>2.2280000000000002</v>
      </c>
      <c r="ET63">
        <v>1.2270000000000001</v>
      </c>
      <c r="EU63">
        <v>0.747</v>
      </c>
      <c r="EV63">
        <v>-4.5330000000000004</v>
      </c>
      <c r="EW63">
        <v>0.68200000000000005</v>
      </c>
      <c r="EX63">
        <v>1.0880000000000001</v>
      </c>
      <c r="EY63">
        <v>-2.593</v>
      </c>
      <c r="EZ63">
        <v>-0.38900000000000001</v>
      </c>
      <c r="FA63">
        <v>2.3380000000000001</v>
      </c>
      <c r="FB63">
        <v>2.0249999999999999</v>
      </c>
      <c r="FC63">
        <v>2.4039999999999999</v>
      </c>
      <c r="FD63">
        <v>0.6</v>
      </c>
      <c r="FE63">
        <v>-1.4690000000000001</v>
      </c>
      <c r="FF63">
        <v>-2.3650000000000002</v>
      </c>
      <c r="FG63">
        <v>-2.5979999999999999</v>
      </c>
      <c r="FH63">
        <v>-2.9969999999999999</v>
      </c>
      <c r="FI63">
        <v>0.53300000000000003</v>
      </c>
      <c r="FJ63">
        <v>6.3E-2</v>
      </c>
      <c r="FK63">
        <v>-7.4240000000000004</v>
      </c>
      <c r="FL63">
        <v>1.4179999999999999</v>
      </c>
      <c r="FM63">
        <v>1.7999999999999999E-2</v>
      </c>
      <c r="FN63">
        <v>0.47</v>
      </c>
      <c r="FO63">
        <v>1.004</v>
      </c>
      <c r="FP63">
        <v>8.7999999999999995E-2</v>
      </c>
      <c r="FQ63">
        <v>-2.1640000000000001</v>
      </c>
      <c r="FR63">
        <v>2.2919999999999998</v>
      </c>
      <c r="FS63">
        <v>-4.9569999999999999</v>
      </c>
      <c r="FT63">
        <v>1.919</v>
      </c>
      <c r="FU63">
        <v>2.1659999999999999</v>
      </c>
      <c r="FV63">
        <v>1.4790000000000001</v>
      </c>
      <c r="FW63">
        <v>1.0149999999999999</v>
      </c>
      <c r="FX63">
        <v>-10.281000000000001</v>
      </c>
      <c r="FY63">
        <v>2.0649999999999999</v>
      </c>
      <c r="FZ63">
        <v>-6.3410000000000002</v>
      </c>
      <c r="GA63">
        <v>-4.8529999999999998</v>
      </c>
      <c r="GB63">
        <v>-3.718</v>
      </c>
      <c r="GC63">
        <v>2.5880000000000001</v>
      </c>
      <c r="GD63">
        <v>-3.9870000000000001</v>
      </c>
      <c r="GE63">
        <v>-1.278</v>
      </c>
      <c r="GF63">
        <v>0.30599999999999999</v>
      </c>
      <c r="GG63">
        <v>-1.5049999999999999</v>
      </c>
      <c r="GH63">
        <v>9.6000000000000002E-2</v>
      </c>
      <c r="GI63">
        <v>4.2430000000000003</v>
      </c>
      <c r="GJ63">
        <v>3.17</v>
      </c>
      <c r="GK63">
        <v>0.80600000000000005</v>
      </c>
      <c r="GL63">
        <v>-4.8179999999999996</v>
      </c>
      <c r="GM63">
        <v>-1.667</v>
      </c>
      <c r="GN63">
        <v>3.5379999999999998</v>
      </c>
      <c r="GO63">
        <v>-0.48599999999999999</v>
      </c>
      <c r="GP63">
        <v>0.54</v>
      </c>
      <c r="GQ63">
        <v>-2.1190000000000002</v>
      </c>
      <c r="GR63">
        <v>-5.7270000000000003</v>
      </c>
      <c r="GS63">
        <v>0.60699999999999998</v>
      </c>
      <c r="GT63">
        <v>0.69099999999999995</v>
      </c>
      <c r="GU63">
        <v>-9.0299999999999994</v>
      </c>
      <c r="GV63">
        <v>2.84</v>
      </c>
      <c r="GW63">
        <v>3.7040000000000002</v>
      </c>
      <c r="GX63">
        <v>1.9890000000000001</v>
      </c>
      <c r="GY63">
        <v>0.55700000000000005</v>
      </c>
      <c r="GZ63">
        <v>0.69899999999999995</v>
      </c>
      <c r="HA63">
        <v>-1.7729999999999999</v>
      </c>
      <c r="HB63">
        <v>-4.78</v>
      </c>
      <c r="HC63">
        <v>-7.5739999999999998</v>
      </c>
      <c r="HD63">
        <v>-0.14299999999999999</v>
      </c>
      <c r="HE63">
        <v>1.278</v>
      </c>
      <c r="HF63">
        <v>-5.8159999999999998</v>
      </c>
      <c r="HG63">
        <v>0.69099999999999995</v>
      </c>
      <c r="HH63">
        <v>-2.6</v>
      </c>
      <c r="HI63">
        <v>-2.5</v>
      </c>
      <c r="HJ63">
        <v>-1.153</v>
      </c>
      <c r="HK63">
        <v>3.4489999999999998</v>
      </c>
      <c r="HL63">
        <v>3.6360000000000001</v>
      </c>
      <c r="HM63">
        <v>-6.8280000000000003</v>
      </c>
      <c r="HN63">
        <v>1.018</v>
      </c>
      <c r="HO63">
        <v>-5.4710000000000001</v>
      </c>
      <c r="HP63">
        <v>1.5629999999999999</v>
      </c>
      <c r="HQ63">
        <v>-0.18099999999999999</v>
      </c>
      <c r="HR63">
        <v>-5.8630000000000004</v>
      </c>
      <c r="HS63">
        <v>-7.4219999999999997</v>
      </c>
      <c r="HT63">
        <v>-2.3370000000000002</v>
      </c>
      <c r="HU63">
        <v>0.53100000000000003</v>
      </c>
      <c r="HV63">
        <v>-1.444</v>
      </c>
      <c r="HW63">
        <v>0.66700000000000004</v>
      </c>
      <c r="HX63">
        <v>0.14299999999999999</v>
      </c>
      <c r="HY63">
        <v>3.2549999999999999</v>
      </c>
      <c r="HZ63">
        <v>1.1080000000000001</v>
      </c>
      <c r="IA63">
        <v>0.79800000000000004</v>
      </c>
      <c r="IB63">
        <v>0.55500000000000005</v>
      </c>
      <c r="IC63">
        <v>-1.036</v>
      </c>
      <c r="ID63">
        <v>-3.1190000000000002</v>
      </c>
      <c r="IE63">
        <v>1.617</v>
      </c>
      <c r="IF63">
        <v>3.073</v>
      </c>
      <c r="IG63">
        <v>3.31</v>
      </c>
      <c r="IH63">
        <v>-3.9129999999999998</v>
      </c>
      <c r="II63">
        <v>2.2010000000000001</v>
      </c>
      <c r="IJ63">
        <v>0.85099999999999998</v>
      </c>
      <c r="IK63">
        <v>0.45800000000000002</v>
      </c>
      <c r="IL63">
        <v>4.2149999999999999</v>
      </c>
      <c r="IM63">
        <v>1.246</v>
      </c>
      <c r="IN63">
        <v>0.52800000000000002</v>
      </c>
      <c r="IO63">
        <v>0.52400000000000002</v>
      </c>
      <c r="IP63">
        <v>0.56100000000000005</v>
      </c>
      <c r="IQ63">
        <v>-5.7560000000000002</v>
      </c>
      <c r="IR63">
        <v>-1.202</v>
      </c>
      <c r="IS63">
        <v>0.63100000000000001</v>
      </c>
      <c r="IT63">
        <v>1.4770000000000001</v>
      </c>
      <c r="IU63">
        <v>2.0470000000000002</v>
      </c>
      <c r="IV63">
        <v>0.433</v>
      </c>
      <c r="IW63">
        <v>-3.4039999999999999</v>
      </c>
      <c r="IX63">
        <v>0.371</v>
      </c>
      <c r="IY63">
        <v>0.38700000000000001</v>
      </c>
      <c r="IZ63">
        <v>-0.35099999999999998</v>
      </c>
      <c r="JA63">
        <v>1.212</v>
      </c>
      <c r="JB63">
        <v>0.76300000000000001</v>
      </c>
      <c r="JC63">
        <v>0.85599999999999998</v>
      </c>
      <c r="JD63">
        <v>-2.7E-2</v>
      </c>
      <c r="JE63">
        <v>-4.7859999999999996</v>
      </c>
      <c r="JF63">
        <v>1.018</v>
      </c>
      <c r="JG63">
        <v>3.085</v>
      </c>
      <c r="JH63">
        <v>0.46800000000000003</v>
      </c>
      <c r="JI63">
        <v>-7.508</v>
      </c>
      <c r="JJ63">
        <v>0.57199999999999995</v>
      </c>
      <c r="JK63">
        <v>-6.2779999999999996</v>
      </c>
      <c r="JL63">
        <v>2.1999999999999999E-2</v>
      </c>
      <c r="JM63">
        <v>2.09</v>
      </c>
      <c r="JN63">
        <v>0.92700000000000005</v>
      </c>
      <c r="JO63">
        <v>1.2809999999999999</v>
      </c>
      <c r="JP63">
        <v>-4.6849999999999996</v>
      </c>
      <c r="JQ63">
        <v>0.61599999999999999</v>
      </c>
      <c r="JR63">
        <v>1.2909999999999999</v>
      </c>
      <c r="JS63">
        <v>1.7210000000000001</v>
      </c>
      <c r="JT63">
        <v>-0.48099999999999998</v>
      </c>
      <c r="JU63">
        <v>1.294</v>
      </c>
      <c r="JV63">
        <v>0.29699999999999999</v>
      </c>
      <c r="JW63">
        <v>3.948</v>
      </c>
      <c r="JX63">
        <v>0.29399999999999998</v>
      </c>
      <c r="JY63">
        <v>-6.1589999999999998</v>
      </c>
      <c r="JZ63">
        <v>-4.46</v>
      </c>
      <c r="KA63">
        <v>-1.448</v>
      </c>
      <c r="KB63">
        <v>0.55200000000000005</v>
      </c>
      <c r="KC63">
        <v>0.54300000000000004</v>
      </c>
      <c r="KD63">
        <v>1.7669999999999999</v>
      </c>
      <c r="KE63">
        <v>-5.9909999999999997</v>
      </c>
      <c r="KF63">
        <v>-8.6389999999999993</v>
      </c>
      <c r="KG63">
        <v>3.3730000000000002</v>
      </c>
      <c r="KH63">
        <v>3.6579999999999999</v>
      </c>
      <c r="KI63">
        <v>1.3029999999999999</v>
      </c>
      <c r="KJ63">
        <v>-0.433</v>
      </c>
      <c r="KK63">
        <v>2.7109999999999999</v>
      </c>
      <c r="KL63">
        <v>-3.1259999999999999</v>
      </c>
      <c r="KM63">
        <v>-4.3869999999999996</v>
      </c>
      <c r="KN63">
        <v>0.46600000000000003</v>
      </c>
      <c r="KO63">
        <v>-0.251</v>
      </c>
      <c r="KP63">
        <v>-4.7329999999999997</v>
      </c>
      <c r="KQ63">
        <v>-9.7919999999999998</v>
      </c>
      <c r="KR63">
        <v>-8.9019999999999992</v>
      </c>
    </row>
    <row r="64" spans="1:304" x14ac:dyDescent="0.25">
      <c r="A64">
        <v>2019</v>
      </c>
      <c r="B64">
        <v>1</v>
      </c>
      <c r="C64">
        <v>-10.558</v>
      </c>
      <c r="D64">
        <v>-2.5710000000000002</v>
      </c>
      <c r="E64">
        <v>-0.84599999999999997</v>
      </c>
      <c r="F64">
        <v>-1.4350000000000001</v>
      </c>
      <c r="G64">
        <v>-1.488</v>
      </c>
      <c r="H64">
        <v>-3.3620000000000001</v>
      </c>
      <c r="I64">
        <v>-15.051</v>
      </c>
      <c r="J64">
        <v>-13.698</v>
      </c>
      <c r="K64">
        <v>-5.4630000000000001</v>
      </c>
      <c r="L64">
        <v>-2.6619999999999999</v>
      </c>
      <c r="M64">
        <v>-4.8259999999999996</v>
      </c>
      <c r="N64">
        <v>-2.9809999999999999</v>
      </c>
      <c r="O64">
        <v>-11.23</v>
      </c>
      <c r="P64">
        <v>1.0760000000000001</v>
      </c>
      <c r="Q64">
        <v>-15.707000000000001</v>
      </c>
      <c r="R64">
        <v>-1.381</v>
      </c>
      <c r="S64">
        <v>-5.9470000000000001</v>
      </c>
      <c r="T64">
        <v>0.17699999999999999</v>
      </c>
      <c r="U64">
        <v>-5.0010000000000003</v>
      </c>
      <c r="V64">
        <v>-1.8620000000000001</v>
      </c>
      <c r="W64">
        <v>-2.54</v>
      </c>
      <c r="X64">
        <v>2.1999999999999999E-2</v>
      </c>
      <c r="Y64">
        <v>0.64400000000000002</v>
      </c>
      <c r="Z64">
        <v>-7.33</v>
      </c>
      <c r="AA64">
        <v>1.677</v>
      </c>
      <c r="AB64">
        <v>1.208</v>
      </c>
      <c r="AC64">
        <v>-7.125</v>
      </c>
      <c r="AD64">
        <v>-2.7959999999999998</v>
      </c>
      <c r="AE64">
        <v>-2.206</v>
      </c>
      <c r="AF64">
        <v>-3.746</v>
      </c>
      <c r="AG64">
        <v>-5.9379999999999997</v>
      </c>
      <c r="AH64">
        <v>-11.688000000000001</v>
      </c>
      <c r="AI64">
        <v>-6.28</v>
      </c>
      <c r="AJ64">
        <v>-2.4390000000000001</v>
      </c>
      <c r="AK64">
        <v>-1.546</v>
      </c>
      <c r="AL64">
        <v>-3.7890000000000001</v>
      </c>
      <c r="AM64">
        <v>-3.3130000000000002</v>
      </c>
      <c r="AN64">
        <v>0.86699999999999999</v>
      </c>
      <c r="AO64">
        <v>-1.921</v>
      </c>
      <c r="AP64">
        <v>-4.9569999999999999</v>
      </c>
      <c r="AQ64">
        <v>0.99299999999999999</v>
      </c>
      <c r="AR64">
        <v>-2.258</v>
      </c>
      <c r="AS64">
        <v>2.4460000000000002</v>
      </c>
      <c r="AT64">
        <v>-5.2069999999999999</v>
      </c>
      <c r="AU64">
        <v>-5.4509999999999996</v>
      </c>
      <c r="AV64">
        <v>-4.2939999999999996</v>
      </c>
      <c r="AW64">
        <v>-2.6339999999999999</v>
      </c>
      <c r="AX64">
        <v>-3.2130000000000001</v>
      </c>
      <c r="AY64">
        <v>-4.4420000000000002</v>
      </c>
      <c r="AZ64">
        <v>-11.637</v>
      </c>
      <c r="BA64">
        <v>-1.9830000000000001</v>
      </c>
      <c r="BB64">
        <v>-7.5389999999999997</v>
      </c>
      <c r="BC64">
        <v>-5.6470000000000002</v>
      </c>
      <c r="BD64">
        <v>-1.5680000000000001</v>
      </c>
      <c r="BE64">
        <v>-3.0489999999999999</v>
      </c>
      <c r="BF64">
        <v>-1.575</v>
      </c>
      <c r="BG64">
        <v>-12.988</v>
      </c>
      <c r="BH64">
        <v>-14.882999999999999</v>
      </c>
      <c r="BI64">
        <v>-4.1109999999999998</v>
      </c>
      <c r="BJ64">
        <v>0.187</v>
      </c>
      <c r="BK64">
        <v>-1.524</v>
      </c>
      <c r="BL64">
        <v>-3.0950000000000002</v>
      </c>
      <c r="BM64">
        <v>-6.7220000000000004</v>
      </c>
      <c r="BN64">
        <v>-3.0019999999999998</v>
      </c>
      <c r="BO64">
        <v>-4.0819999999999999</v>
      </c>
      <c r="BP64">
        <v>0.94799999999999995</v>
      </c>
      <c r="BQ64">
        <v>-8.6419999999999995</v>
      </c>
      <c r="BR64">
        <v>-2.4300000000000002</v>
      </c>
      <c r="BS64">
        <v>-2.3919999999999999</v>
      </c>
      <c r="BT64">
        <v>-13.413</v>
      </c>
      <c r="BU64">
        <v>-7.8550000000000004</v>
      </c>
      <c r="BV64">
        <v>-5.101</v>
      </c>
      <c r="BW64">
        <v>1.4970000000000001</v>
      </c>
      <c r="BX64">
        <v>-11.385</v>
      </c>
      <c r="BY64">
        <v>6.0000000000000001E-3</v>
      </c>
      <c r="BZ64">
        <v>-2.0699999999999998</v>
      </c>
      <c r="CA64">
        <v>-0.91900000000000004</v>
      </c>
      <c r="CB64">
        <v>-5.0819999999999999</v>
      </c>
      <c r="CC64">
        <v>-2.117</v>
      </c>
      <c r="CD64">
        <v>-2.3940000000000001</v>
      </c>
      <c r="CE64">
        <v>-4.4939999999999998</v>
      </c>
      <c r="CF64">
        <v>-1.843</v>
      </c>
      <c r="CG64">
        <v>-0.748</v>
      </c>
      <c r="CH64">
        <v>-5.3760000000000003</v>
      </c>
      <c r="CI64">
        <v>-5.0019999999999998</v>
      </c>
      <c r="CJ64">
        <v>-0.52500000000000002</v>
      </c>
      <c r="CK64">
        <v>0.19800000000000001</v>
      </c>
      <c r="CL64">
        <v>1.8779999999999999</v>
      </c>
      <c r="CM64">
        <v>-1.401</v>
      </c>
      <c r="CN64">
        <v>0.38200000000000001</v>
      </c>
      <c r="CO64">
        <v>0.438</v>
      </c>
      <c r="CP64">
        <v>-17.152999999999999</v>
      </c>
      <c r="CQ64">
        <v>-11.023999999999999</v>
      </c>
      <c r="CR64">
        <v>-2.2469999999999999</v>
      </c>
      <c r="CS64">
        <v>-1.8</v>
      </c>
      <c r="CT64">
        <v>-13.923</v>
      </c>
      <c r="CU64">
        <v>-0.18099999999999999</v>
      </c>
      <c r="CV64">
        <v>-16.177</v>
      </c>
      <c r="CW64">
        <v>-1.002</v>
      </c>
      <c r="CX64">
        <v>0.16</v>
      </c>
      <c r="CY64">
        <v>-4.1340000000000003</v>
      </c>
      <c r="CZ64">
        <v>0.35199999999999998</v>
      </c>
      <c r="DA64">
        <v>-3.0920000000000001</v>
      </c>
      <c r="DB64">
        <v>-2.9910000000000001</v>
      </c>
      <c r="DC64">
        <v>-4.4400000000000004</v>
      </c>
      <c r="DD64">
        <v>-1.1080000000000001</v>
      </c>
      <c r="DE64">
        <v>-14.542999999999999</v>
      </c>
      <c r="DF64">
        <v>-1.996</v>
      </c>
      <c r="DG64">
        <v>0.73</v>
      </c>
      <c r="DH64">
        <v>-3.5409999999999999</v>
      </c>
      <c r="DI64">
        <v>-5.4279999999999999</v>
      </c>
      <c r="DJ64">
        <v>-7.6639999999999997</v>
      </c>
      <c r="DK64">
        <v>0.91500000000000004</v>
      </c>
      <c r="DL64">
        <v>-3.35</v>
      </c>
      <c r="DM64">
        <v>-3.0190000000000001</v>
      </c>
      <c r="DN64">
        <v>0.27300000000000002</v>
      </c>
      <c r="DO64">
        <v>-3.4159999999999999</v>
      </c>
      <c r="DP64">
        <v>-0.55600000000000005</v>
      </c>
      <c r="DQ64">
        <v>-14.01</v>
      </c>
      <c r="DR64">
        <v>1.323</v>
      </c>
      <c r="DS64">
        <v>-3.8119999999999998</v>
      </c>
      <c r="DT64">
        <v>0.79300000000000004</v>
      </c>
      <c r="DU64">
        <v>1.671</v>
      </c>
      <c r="DV64">
        <v>-2.9249999999999998</v>
      </c>
      <c r="DW64">
        <v>-3.335</v>
      </c>
      <c r="DX64">
        <v>-5.4329999999999998</v>
      </c>
      <c r="DY64">
        <v>-0.97899999999999998</v>
      </c>
      <c r="DZ64">
        <v>-1.7909999999999999</v>
      </c>
      <c r="EA64">
        <v>-2.1819999999999999</v>
      </c>
      <c r="EB64">
        <v>-1.2689999999999999</v>
      </c>
      <c r="EC64">
        <v>-1.38</v>
      </c>
      <c r="ED64">
        <v>-4.4390000000000001</v>
      </c>
      <c r="EE64">
        <v>-1.7150000000000001</v>
      </c>
      <c r="EF64">
        <v>-0.89600000000000002</v>
      </c>
      <c r="EG64">
        <v>-6.6630000000000003</v>
      </c>
      <c r="EH64">
        <v>1.681</v>
      </c>
      <c r="EI64">
        <v>-4.851</v>
      </c>
      <c r="EJ64">
        <v>-13.391</v>
      </c>
      <c r="EK64">
        <v>1.306</v>
      </c>
      <c r="EL64">
        <v>-14.57</v>
      </c>
      <c r="EM64">
        <v>0.182</v>
      </c>
      <c r="EN64">
        <v>-1.849</v>
      </c>
      <c r="EO64">
        <v>1.7949999999999999</v>
      </c>
      <c r="EP64">
        <v>-7.4139999999999997</v>
      </c>
      <c r="EQ64">
        <v>-13.996</v>
      </c>
      <c r="ER64">
        <v>-1.087</v>
      </c>
      <c r="ES64">
        <v>-0.16500000000000001</v>
      </c>
      <c r="ET64">
        <v>-1.147</v>
      </c>
      <c r="EU64">
        <v>-1.5269999999999999</v>
      </c>
      <c r="EV64">
        <v>-5.8150000000000004</v>
      </c>
      <c r="EW64">
        <v>-1.534</v>
      </c>
      <c r="EX64">
        <v>-1.474</v>
      </c>
      <c r="EY64">
        <v>-5.6120000000000001</v>
      </c>
      <c r="EZ64">
        <v>-3.9049999999999998</v>
      </c>
      <c r="FA64">
        <v>-0.18099999999999999</v>
      </c>
      <c r="FB64">
        <v>-0.42199999999999999</v>
      </c>
      <c r="FC64">
        <v>6.5000000000000002E-2</v>
      </c>
      <c r="FD64">
        <v>-2.1349999999999998</v>
      </c>
      <c r="FE64">
        <v>-4.2380000000000004</v>
      </c>
      <c r="FF64">
        <v>-5.0330000000000004</v>
      </c>
      <c r="FG64">
        <v>-5.1779999999999999</v>
      </c>
      <c r="FH64">
        <v>-9.1159999999999997</v>
      </c>
      <c r="FI64">
        <v>-2.1440000000000001</v>
      </c>
      <c r="FJ64">
        <v>-3.198</v>
      </c>
      <c r="FK64">
        <v>-13.739000000000001</v>
      </c>
      <c r="FL64">
        <v>-1.1619999999999999</v>
      </c>
      <c r="FM64">
        <v>-2.9620000000000002</v>
      </c>
      <c r="FN64">
        <v>-2.2909999999999999</v>
      </c>
      <c r="FO64">
        <v>-1.591</v>
      </c>
      <c r="FP64">
        <v>-2.532</v>
      </c>
      <c r="FQ64">
        <v>-4.8449999999999998</v>
      </c>
      <c r="FR64">
        <v>-0.39500000000000002</v>
      </c>
      <c r="FS64">
        <v>-6.2060000000000004</v>
      </c>
      <c r="FT64">
        <v>-0.51400000000000001</v>
      </c>
      <c r="FU64">
        <v>-0.32700000000000001</v>
      </c>
      <c r="FV64">
        <v>-0.83499999999999996</v>
      </c>
      <c r="FW64">
        <v>-1.65</v>
      </c>
      <c r="FX64">
        <v>-15.776</v>
      </c>
      <c r="FY64">
        <v>-0.61699999999999999</v>
      </c>
      <c r="FZ64">
        <v>-12.821</v>
      </c>
      <c r="GA64">
        <v>-10.734</v>
      </c>
      <c r="GB64">
        <v>-10.686999999999999</v>
      </c>
      <c r="GC64">
        <v>7.9000000000000001E-2</v>
      </c>
      <c r="GD64">
        <v>-5.6369999999999996</v>
      </c>
      <c r="GE64">
        <v>-4.62</v>
      </c>
      <c r="GF64">
        <v>-2.5289999999999999</v>
      </c>
      <c r="GG64">
        <v>-4.7830000000000004</v>
      </c>
      <c r="GH64">
        <v>-3.15</v>
      </c>
      <c r="GI64">
        <v>1.633</v>
      </c>
      <c r="GJ64">
        <v>0.58399999999999996</v>
      </c>
      <c r="GK64">
        <v>-1.8680000000000001</v>
      </c>
      <c r="GL64">
        <v>-12.032999999999999</v>
      </c>
      <c r="GM64">
        <v>-4.6239999999999997</v>
      </c>
      <c r="GN64">
        <v>1.085</v>
      </c>
      <c r="GO64">
        <v>-3.4689999999999999</v>
      </c>
      <c r="GP64">
        <v>-2.0390000000000001</v>
      </c>
      <c r="GQ64">
        <v>-4.8739999999999997</v>
      </c>
      <c r="GR64">
        <v>-9.5109999999999992</v>
      </c>
      <c r="GS64">
        <v>-2.3460000000000001</v>
      </c>
      <c r="GT64">
        <v>-2.1179999999999999</v>
      </c>
      <c r="GU64">
        <v>-14.904</v>
      </c>
      <c r="GV64">
        <v>0.92200000000000004</v>
      </c>
      <c r="GW64">
        <v>1.3069999999999999</v>
      </c>
      <c r="GX64">
        <v>-0.59099999999999997</v>
      </c>
      <c r="GY64">
        <v>-2.1779999999999999</v>
      </c>
      <c r="GZ64">
        <v>-2.121</v>
      </c>
      <c r="HA64">
        <v>-4.867</v>
      </c>
      <c r="HB64">
        <v>-6.7229999999999999</v>
      </c>
      <c r="HC64">
        <v>-13.634</v>
      </c>
      <c r="HD64">
        <v>-3.3740000000000001</v>
      </c>
      <c r="HE64">
        <v>-0.84</v>
      </c>
      <c r="HF64">
        <v>-8.4429999999999996</v>
      </c>
      <c r="HG64">
        <v>-2.1549999999999998</v>
      </c>
      <c r="HH64">
        <v>-5.234</v>
      </c>
      <c r="HI64">
        <v>-5.508</v>
      </c>
      <c r="HJ64">
        <v>-4.343</v>
      </c>
      <c r="HK64">
        <v>0.98899999999999999</v>
      </c>
      <c r="HL64">
        <v>1.254</v>
      </c>
      <c r="HM64">
        <v>-8.0030000000000001</v>
      </c>
      <c r="HN64">
        <v>-1.627</v>
      </c>
      <c r="HO64">
        <v>-7.4489999999999998</v>
      </c>
      <c r="HP64">
        <v>-1.024</v>
      </c>
      <c r="HQ64">
        <v>-2.6480000000000001</v>
      </c>
      <c r="HR64">
        <v>-7.0330000000000004</v>
      </c>
      <c r="HS64">
        <v>-8.516</v>
      </c>
      <c r="HT64">
        <v>-5.0060000000000002</v>
      </c>
      <c r="HU64">
        <v>-2.2970000000000002</v>
      </c>
      <c r="HV64">
        <v>-3.9969999999999999</v>
      </c>
      <c r="HW64">
        <v>-2.028</v>
      </c>
      <c r="HX64">
        <v>-2.6949999999999998</v>
      </c>
      <c r="HY64">
        <v>0.83799999999999997</v>
      </c>
      <c r="HZ64">
        <v>-1.099</v>
      </c>
      <c r="IA64">
        <v>-1.75</v>
      </c>
      <c r="IB64">
        <v>-2.069</v>
      </c>
      <c r="IC64">
        <v>-4.5860000000000003</v>
      </c>
      <c r="ID64">
        <v>-6.069</v>
      </c>
      <c r="IE64">
        <v>-1.1759999999999999</v>
      </c>
      <c r="IF64">
        <v>0.94499999999999995</v>
      </c>
      <c r="IG64">
        <v>0.65600000000000003</v>
      </c>
      <c r="IH64">
        <v>-6.9560000000000004</v>
      </c>
      <c r="II64">
        <v>-0.29499999999999998</v>
      </c>
      <c r="IJ64">
        <v>-1.81</v>
      </c>
      <c r="IK64">
        <v>-1.9790000000000001</v>
      </c>
      <c r="IL64">
        <v>1.9</v>
      </c>
      <c r="IM64">
        <v>-1.5880000000000001</v>
      </c>
      <c r="IN64">
        <v>-2.2090000000000001</v>
      </c>
      <c r="IO64">
        <v>-2.173</v>
      </c>
      <c r="IP64">
        <v>-2.3730000000000002</v>
      </c>
      <c r="IQ64">
        <v>-7.7469999999999999</v>
      </c>
      <c r="IR64">
        <v>-4.8029999999999999</v>
      </c>
      <c r="IS64">
        <v>-1.8340000000000001</v>
      </c>
      <c r="IT64">
        <v>-1.095</v>
      </c>
      <c r="IU64">
        <v>-0.54800000000000004</v>
      </c>
      <c r="IV64">
        <v>-2.254</v>
      </c>
      <c r="IW64">
        <v>-10.242000000000001</v>
      </c>
      <c r="IX64">
        <v>-2.8140000000000001</v>
      </c>
      <c r="IY64">
        <v>-2.6909999999999998</v>
      </c>
      <c r="IZ64">
        <v>-3.843</v>
      </c>
      <c r="JA64">
        <v>-0.999</v>
      </c>
      <c r="JB64">
        <v>-2.161</v>
      </c>
      <c r="JC64">
        <v>-1.5780000000000001</v>
      </c>
      <c r="JD64">
        <v>-3.2090000000000001</v>
      </c>
      <c r="JE64">
        <v>-6.7619999999999996</v>
      </c>
      <c r="JF64">
        <v>-1.83</v>
      </c>
      <c r="JG64">
        <v>1.117</v>
      </c>
      <c r="JH64">
        <v>-2.294</v>
      </c>
      <c r="JI64">
        <v>-13.316000000000001</v>
      </c>
      <c r="JJ64">
        <v>-1.9079999999999999</v>
      </c>
      <c r="JK64">
        <v>-13.335000000000001</v>
      </c>
      <c r="JL64">
        <v>-2.9140000000000001</v>
      </c>
      <c r="JM64">
        <v>7.0000000000000007E-2</v>
      </c>
      <c r="JN64">
        <v>-1.9319999999999999</v>
      </c>
      <c r="JO64">
        <v>-1.4450000000000001</v>
      </c>
      <c r="JP64">
        <v>-11.46</v>
      </c>
      <c r="JQ64">
        <v>-2.133</v>
      </c>
      <c r="JR64">
        <v>-1.5469999999999999</v>
      </c>
      <c r="JS64">
        <v>-0.63500000000000001</v>
      </c>
      <c r="JT64">
        <v>-3.7250000000000001</v>
      </c>
      <c r="JU64">
        <v>-1.601</v>
      </c>
      <c r="JV64">
        <v>-2.2189999999999999</v>
      </c>
      <c r="JW64">
        <v>1.452</v>
      </c>
      <c r="JX64">
        <v>-2.194</v>
      </c>
      <c r="JY64">
        <v>-7.431</v>
      </c>
      <c r="JZ64">
        <v>-6.8579999999999997</v>
      </c>
      <c r="KA64">
        <v>-4.327</v>
      </c>
      <c r="KB64">
        <v>-2.2509999999999999</v>
      </c>
      <c r="KC64">
        <v>-1.923</v>
      </c>
      <c r="KD64">
        <v>-0.82199999999999995</v>
      </c>
      <c r="KE64">
        <v>-6.9859999999999998</v>
      </c>
      <c r="KF64">
        <v>-15.484</v>
      </c>
      <c r="KG64">
        <v>1.1659999999999999</v>
      </c>
      <c r="KH64">
        <v>1.601</v>
      </c>
      <c r="KI64">
        <v>-1.024</v>
      </c>
      <c r="KJ64">
        <v>-3.1760000000000002</v>
      </c>
      <c r="KK64">
        <v>0.309</v>
      </c>
      <c r="KL64">
        <v>-7.9589999999999996</v>
      </c>
      <c r="KM64">
        <v>-6.8680000000000003</v>
      </c>
      <c r="KN64">
        <v>-2.5470000000000002</v>
      </c>
      <c r="KO64">
        <v>-3.3540000000000001</v>
      </c>
      <c r="KP64">
        <v>-7.6059999999999999</v>
      </c>
      <c r="KQ64">
        <v>-15.999000000000001</v>
      </c>
      <c r="KR64">
        <v>-15.151</v>
      </c>
    </row>
    <row r="65" spans="1:304" x14ac:dyDescent="0.25">
      <c r="A65">
        <v>2019</v>
      </c>
      <c r="B65">
        <v>2</v>
      </c>
      <c r="C65">
        <v>-9.5939999999999994</v>
      </c>
      <c r="D65">
        <v>1.3129999999999999</v>
      </c>
      <c r="E65">
        <v>3.1560000000000001</v>
      </c>
      <c r="F65">
        <v>2.6190000000000002</v>
      </c>
      <c r="G65">
        <v>2.286</v>
      </c>
      <c r="H65">
        <v>1.2769999999999999</v>
      </c>
      <c r="I65">
        <v>-9.4909999999999997</v>
      </c>
      <c r="J65">
        <v>-8.1219999999999999</v>
      </c>
      <c r="K65">
        <v>-0.19900000000000001</v>
      </c>
      <c r="L65">
        <v>1.5940000000000001</v>
      </c>
      <c r="M65">
        <v>4.2999999999999997E-2</v>
      </c>
      <c r="N65">
        <v>1.494</v>
      </c>
      <c r="O65">
        <v>-5.12</v>
      </c>
      <c r="P65">
        <v>3.7530000000000001</v>
      </c>
      <c r="Q65">
        <v>-9.2360000000000007</v>
      </c>
      <c r="R65">
        <v>2.3010000000000002</v>
      </c>
      <c r="S65">
        <v>-1.4179999999999999</v>
      </c>
      <c r="T65">
        <v>3.1320000000000001</v>
      </c>
      <c r="U65">
        <v>-0.53800000000000003</v>
      </c>
      <c r="V65">
        <v>1.8740000000000001</v>
      </c>
      <c r="W65">
        <v>1.4650000000000001</v>
      </c>
      <c r="X65">
        <v>3.0939999999999999</v>
      </c>
      <c r="Y65">
        <v>3.5030000000000001</v>
      </c>
      <c r="Z65">
        <v>-3.956</v>
      </c>
      <c r="AA65">
        <v>4.2</v>
      </c>
      <c r="AB65">
        <v>3.3849999999999998</v>
      </c>
      <c r="AC65">
        <v>-1.03</v>
      </c>
      <c r="AD65">
        <v>1.5289999999999999</v>
      </c>
      <c r="AE65">
        <v>1.6619999999999999</v>
      </c>
      <c r="AF65">
        <v>0.64900000000000002</v>
      </c>
      <c r="AG65">
        <v>-2.2879999999999998</v>
      </c>
      <c r="AH65">
        <v>-6.0720000000000001</v>
      </c>
      <c r="AI65">
        <v>-1.7769999999999999</v>
      </c>
      <c r="AJ65">
        <v>1.6879999999999999</v>
      </c>
      <c r="AK65">
        <v>2.3109999999999999</v>
      </c>
      <c r="AL65">
        <v>0.84699999999999998</v>
      </c>
      <c r="AM65">
        <v>1.276</v>
      </c>
      <c r="AN65">
        <v>3.7290000000000001</v>
      </c>
      <c r="AO65">
        <v>2.528</v>
      </c>
      <c r="AP65">
        <v>9.1999999999999998E-2</v>
      </c>
      <c r="AQ65">
        <v>3.129</v>
      </c>
      <c r="AR65">
        <v>1.865</v>
      </c>
      <c r="AS65">
        <v>3.9390000000000001</v>
      </c>
      <c r="AT65">
        <v>-0.77700000000000002</v>
      </c>
      <c r="AU65">
        <v>-0.41099999999999998</v>
      </c>
      <c r="AV65">
        <v>0.39100000000000001</v>
      </c>
      <c r="AW65">
        <v>1.879</v>
      </c>
      <c r="AX65">
        <v>1.1830000000000001</v>
      </c>
      <c r="AY65">
        <v>0.371</v>
      </c>
      <c r="AZ65">
        <v>-5.9710000000000001</v>
      </c>
      <c r="BA65">
        <v>2.133</v>
      </c>
      <c r="BB65">
        <v>-4.194</v>
      </c>
      <c r="BC65">
        <v>-1.0489999999999999</v>
      </c>
      <c r="BD65">
        <v>2.1930000000000001</v>
      </c>
      <c r="BE65">
        <v>1.321</v>
      </c>
      <c r="BF65">
        <v>2.681</v>
      </c>
      <c r="BG65">
        <v>-7.0789999999999997</v>
      </c>
      <c r="BH65">
        <v>-10.743</v>
      </c>
      <c r="BI65">
        <v>0.35699999999999998</v>
      </c>
      <c r="BJ65">
        <v>3.2949999999999999</v>
      </c>
      <c r="BK65">
        <v>2.4039999999999999</v>
      </c>
      <c r="BL65">
        <v>1.032</v>
      </c>
      <c r="BM65">
        <v>-1.1519999999999999</v>
      </c>
      <c r="BN65">
        <v>1.5509999999999999</v>
      </c>
      <c r="BO65">
        <v>0.73799999999999999</v>
      </c>
      <c r="BP65">
        <v>3.1560000000000001</v>
      </c>
      <c r="BQ65">
        <v>-4.133</v>
      </c>
      <c r="BR65">
        <v>1.29</v>
      </c>
      <c r="BS65">
        <v>1.478</v>
      </c>
      <c r="BT65">
        <v>-8.4190000000000005</v>
      </c>
      <c r="BU65">
        <v>-4.0659999999999998</v>
      </c>
      <c r="BV65">
        <v>-0.21</v>
      </c>
      <c r="BW65">
        <v>3.9510000000000001</v>
      </c>
      <c r="BX65">
        <v>-6.5270000000000001</v>
      </c>
      <c r="BY65">
        <v>2.4780000000000002</v>
      </c>
      <c r="BZ65">
        <v>2.23</v>
      </c>
      <c r="CA65">
        <v>2.7440000000000002</v>
      </c>
      <c r="CB65">
        <v>-0.50900000000000001</v>
      </c>
      <c r="CC65">
        <v>1.845</v>
      </c>
      <c r="CD65">
        <v>1.5029999999999999</v>
      </c>
      <c r="CE65">
        <v>-0.77900000000000003</v>
      </c>
      <c r="CF65">
        <v>2.3610000000000002</v>
      </c>
      <c r="CG65">
        <v>2.698</v>
      </c>
      <c r="CH65">
        <v>-0.44</v>
      </c>
      <c r="CI65">
        <v>-1.8580000000000001</v>
      </c>
      <c r="CJ65">
        <v>2.9630000000000001</v>
      </c>
      <c r="CK65">
        <v>3.1579999999999999</v>
      </c>
      <c r="CL65">
        <v>3.7240000000000002</v>
      </c>
      <c r="CM65">
        <v>2.7269999999999999</v>
      </c>
      <c r="CN65">
        <v>3.3130000000000002</v>
      </c>
      <c r="CO65">
        <v>3.33</v>
      </c>
      <c r="CP65">
        <v>-10.853999999999999</v>
      </c>
      <c r="CQ65">
        <v>-5.1669999999999998</v>
      </c>
      <c r="CR65">
        <v>1.635</v>
      </c>
      <c r="CS65">
        <v>2.206</v>
      </c>
      <c r="CT65">
        <v>-9.0609999999999999</v>
      </c>
      <c r="CU65">
        <v>3.177</v>
      </c>
      <c r="CV65">
        <v>-12.643000000000001</v>
      </c>
      <c r="CW65">
        <v>2.5539999999999998</v>
      </c>
      <c r="CX65">
        <v>3.242</v>
      </c>
      <c r="CY65">
        <v>0.33</v>
      </c>
      <c r="CZ65">
        <v>3.137</v>
      </c>
      <c r="DA65">
        <v>1.0289999999999999</v>
      </c>
      <c r="DB65">
        <v>1.46</v>
      </c>
      <c r="DC65">
        <v>0.40899999999999997</v>
      </c>
      <c r="DD65">
        <v>2.6269999999999998</v>
      </c>
      <c r="DE65">
        <v>-11.346</v>
      </c>
      <c r="DF65">
        <v>2.1669999999999998</v>
      </c>
      <c r="DG65">
        <v>3.528</v>
      </c>
      <c r="DH65">
        <v>0.85799999999999998</v>
      </c>
      <c r="DI65">
        <v>-0.46200000000000002</v>
      </c>
      <c r="DJ65">
        <v>-3.214</v>
      </c>
      <c r="DK65">
        <v>3.8010000000000002</v>
      </c>
      <c r="DL65">
        <v>0.77300000000000002</v>
      </c>
      <c r="DM65">
        <v>1.5580000000000001</v>
      </c>
      <c r="DN65">
        <v>3.1760000000000002</v>
      </c>
      <c r="DO65">
        <v>1.3340000000000001</v>
      </c>
      <c r="DP65">
        <v>3.2549999999999999</v>
      </c>
      <c r="DQ65">
        <v>-10.456</v>
      </c>
      <c r="DR65">
        <v>3.988</v>
      </c>
      <c r="DS65">
        <v>1.0529999999999999</v>
      </c>
      <c r="DT65">
        <v>3.3639999999999999</v>
      </c>
      <c r="DU65">
        <v>4.0030000000000001</v>
      </c>
      <c r="DV65">
        <v>1.48</v>
      </c>
      <c r="DW65">
        <v>1.238</v>
      </c>
      <c r="DX65">
        <v>-1.125</v>
      </c>
      <c r="DY65">
        <v>2.76</v>
      </c>
      <c r="DZ65">
        <v>2.0259999999999998</v>
      </c>
      <c r="EA65">
        <v>1.615</v>
      </c>
      <c r="EB65">
        <v>2.57</v>
      </c>
      <c r="EC65">
        <v>2.875</v>
      </c>
      <c r="ED65">
        <v>0.32400000000000001</v>
      </c>
      <c r="EE65">
        <v>2.5329999999999999</v>
      </c>
      <c r="EF65">
        <v>2.5350000000000001</v>
      </c>
      <c r="EG65">
        <v>-2.8929999999999998</v>
      </c>
      <c r="EH65">
        <v>4.2069999999999999</v>
      </c>
      <c r="EI65">
        <v>-0.22900000000000001</v>
      </c>
      <c r="EJ65">
        <v>-8.15</v>
      </c>
      <c r="EK65">
        <v>4.0449999999999999</v>
      </c>
      <c r="EL65">
        <v>-7</v>
      </c>
      <c r="EM65">
        <v>3.1339999999999999</v>
      </c>
      <c r="EN65">
        <v>2.2959999999999998</v>
      </c>
      <c r="EO65">
        <v>4.1900000000000004</v>
      </c>
      <c r="EP65">
        <v>-2.21</v>
      </c>
      <c r="EQ65">
        <v>-7.7949999999999999</v>
      </c>
      <c r="ER65">
        <v>2.5739999999999998</v>
      </c>
      <c r="ES65">
        <v>2.8380000000000001</v>
      </c>
      <c r="ET65">
        <v>2.4729999999999999</v>
      </c>
      <c r="EU65">
        <v>2.569</v>
      </c>
      <c r="EV65">
        <v>-1.673</v>
      </c>
      <c r="EW65">
        <v>2.11</v>
      </c>
      <c r="EX65">
        <v>2.4209999999999998</v>
      </c>
      <c r="EY65">
        <v>-0.56799999999999995</v>
      </c>
      <c r="EZ65">
        <v>0.69</v>
      </c>
      <c r="FA65">
        <v>3.1309999999999998</v>
      </c>
      <c r="FB65">
        <v>3.1629999999999998</v>
      </c>
      <c r="FC65">
        <v>3.0920000000000001</v>
      </c>
      <c r="FD65">
        <v>1.617</v>
      </c>
      <c r="FE65">
        <v>0.38200000000000001</v>
      </c>
      <c r="FF65">
        <v>5.1999999999999998E-2</v>
      </c>
      <c r="FG65">
        <v>-1.401</v>
      </c>
      <c r="FH65">
        <v>-4.234</v>
      </c>
      <c r="FI65">
        <v>2.1840000000000002</v>
      </c>
      <c r="FJ65">
        <v>0.90800000000000003</v>
      </c>
      <c r="FK65">
        <v>-7.4649999999999999</v>
      </c>
      <c r="FL65">
        <v>2.8029999999999999</v>
      </c>
      <c r="FM65">
        <v>1.357</v>
      </c>
      <c r="FN65">
        <v>1.732</v>
      </c>
      <c r="FO65">
        <v>1.758</v>
      </c>
      <c r="FP65">
        <v>1.4650000000000001</v>
      </c>
      <c r="FQ65">
        <v>-0.32900000000000001</v>
      </c>
      <c r="FR65">
        <v>2.9630000000000001</v>
      </c>
      <c r="FS65">
        <v>-2.1469999999999998</v>
      </c>
      <c r="FT65">
        <v>3.0110000000000001</v>
      </c>
      <c r="FU65">
        <v>2.8029999999999999</v>
      </c>
      <c r="FV65">
        <v>2.7530000000000001</v>
      </c>
      <c r="FW65">
        <v>1.998</v>
      </c>
      <c r="FX65">
        <v>-11.189</v>
      </c>
      <c r="FY65">
        <v>3.0390000000000001</v>
      </c>
      <c r="FZ65">
        <v>-7.3029999999999999</v>
      </c>
      <c r="GA65">
        <v>-9.0640000000000001</v>
      </c>
      <c r="GB65">
        <v>-5.4640000000000004</v>
      </c>
      <c r="GC65">
        <v>3.0489999999999999</v>
      </c>
      <c r="GD65">
        <v>-1.5189999999999999</v>
      </c>
      <c r="GE65">
        <v>0.17799999999999999</v>
      </c>
      <c r="GF65">
        <v>1.4950000000000001</v>
      </c>
      <c r="GG65">
        <v>-5.8000000000000003E-2</v>
      </c>
      <c r="GH65">
        <v>1.079</v>
      </c>
      <c r="GI65">
        <v>3.8940000000000001</v>
      </c>
      <c r="GJ65">
        <v>3.5179999999999998</v>
      </c>
      <c r="GK65">
        <v>2.2770000000000001</v>
      </c>
      <c r="GL65">
        <v>-6.1349999999999998</v>
      </c>
      <c r="GM65">
        <v>0.129</v>
      </c>
      <c r="GN65">
        <v>3.5619999999999998</v>
      </c>
      <c r="GO65">
        <v>0.51100000000000001</v>
      </c>
      <c r="GP65">
        <v>2.1440000000000001</v>
      </c>
      <c r="GQ65">
        <v>-0.10299999999999999</v>
      </c>
      <c r="GR65">
        <v>-4.1029999999999998</v>
      </c>
      <c r="GS65">
        <v>1.6120000000000001</v>
      </c>
      <c r="GT65">
        <v>1.714</v>
      </c>
      <c r="GU65">
        <v>-8.3420000000000005</v>
      </c>
      <c r="GV65">
        <v>3.3029999999999999</v>
      </c>
      <c r="GW65">
        <v>4.0350000000000001</v>
      </c>
      <c r="GX65">
        <v>3.032</v>
      </c>
      <c r="GY65">
        <v>1.653</v>
      </c>
      <c r="GZ65">
        <v>1.72</v>
      </c>
      <c r="HA65">
        <v>-4.3999999999999997E-2</v>
      </c>
      <c r="HB65">
        <v>-2.8759999999999999</v>
      </c>
      <c r="HC65">
        <v>-7.54</v>
      </c>
      <c r="HD65">
        <v>1.25</v>
      </c>
      <c r="HE65">
        <v>2.3199999999999998</v>
      </c>
      <c r="HF65">
        <v>-4.7069999999999999</v>
      </c>
      <c r="HG65">
        <v>1.7070000000000001</v>
      </c>
      <c r="HH65">
        <v>-2.044</v>
      </c>
      <c r="HI65">
        <v>-0.48299999999999998</v>
      </c>
      <c r="HJ65">
        <v>0.51100000000000001</v>
      </c>
      <c r="HK65">
        <v>3.7360000000000002</v>
      </c>
      <c r="HL65">
        <v>3.843</v>
      </c>
      <c r="HM65">
        <v>-3.8039999999999998</v>
      </c>
      <c r="HN65">
        <v>2.0960000000000001</v>
      </c>
      <c r="HO65">
        <v>-3.593</v>
      </c>
      <c r="HP65">
        <v>2.7909999999999999</v>
      </c>
      <c r="HQ65">
        <v>1.43</v>
      </c>
      <c r="HR65">
        <v>-3.0259999999999998</v>
      </c>
      <c r="HS65">
        <v>-4.694</v>
      </c>
      <c r="HT65">
        <v>-0.32200000000000001</v>
      </c>
      <c r="HU65">
        <v>1.6319999999999999</v>
      </c>
      <c r="HV65">
        <v>-0.1</v>
      </c>
      <c r="HW65">
        <v>2.4020000000000001</v>
      </c>
      <c r="HX65">
        <v>1.4450000000000001</v>
      </c>
      <c r="HY65">
        <v>3.5059999999999998</v>
      </c>
      <c r="HZ65">
        <v>2.246</v>
      </c>
      <c r="IA65">
        <v>2.4540000000000002</v>
      </c>
      <c r="IB65">
        <v>2.0499999999999998</v>
      </c>
      <c r="IC65">
        <v>0.27800000000000002</v>
      </c>
      <c r="ID65">
        <v>-2.9409999999999998</v>
      </c>
      <c r="IE65">
        <v>2.383</v>
      </c>
      <c r="IF65">
        <v>3.3610000000000002</v>
      </c>
      <c r="IG65">
        <v>3.4980000000000002</v>
      </c>
      <c r="IH65">
        <v>-1.2210000000000001</v>
      </c>
      <c r="II65">
        <v>3.0550000000000002</v>
      </c>
      <c r="IJ65">
        <v>1.9630000000000001</v>
      </c>
      <c r="IK65">
        <v>2.254</v>
      </c>
      <c r="IL65">
        <v>3.7669999999999999</v>
      </c>
      <c r="IM65">
        <v>2.7480000000000002</v>
      </c>
      <c r="IN65">
        <v>1.649</v>
      </c>
      <c r="IO65">
        <v>1.4850000000000001</v>
      </c>
      <c r="IP65">
        <v>1.577</v>
      </c>
      <c r="IQ65">
        <v>-4.032</v>
      </c>
      <c r="IR65">
        <v>0.14899999999999999</v>
      </c>
      <c r="IS65">
        <v>2.2320000000000002</v>
      </c>
      <c r="IT65">
        <v>2.7879999999999998</v>
      </c>
      <c r="IU65">
        <v>2.7440000000000002</v>
      </c>
      <c r="IV65">
        <v>1.591</v>
      </c>
      <c r="IW65">
        <v>-4.8040000000000003</v>
      </c>
      <c r="IX65">
        <v>1.171</v>
      </c>
      <c r="IY65">
        <v>1.3919999999999999</v>
      </c>
      <c r="IZ65">
        <v>0.70699999999999996</v>
      </c>
      <c r="JA65">
        <v>2.48</v>
      </c>
      <c r="JB65">
        <v>1.768</v>
      </c>
      <c r="JC65">
        <v>2.5960000000000001</v>
      </c>
      <c r="JD65">
        <v>1.08</v>
      </c>
      <c r="JE65">
        <v>-1.629</v>
      </c>
      <c r="JF65">
        <v>2.5030000000000001</v>
      </c>
      <c r="JG65">
        <v>3.1349999999999998</v>
      </c>
      <c r="JH65">
        <v>1.798</v>
      </c>
      <c r="JI65">
        <v>-7.048</v>
      </c>
      <c r="JJ65">
        <v>2.2799999999999998</v>
      </c>
      <c r="JK65">
        <v>-6.2510000000000003</v>
      </c>
      <c r="JL65">
        <v>1.5409999999999999</v>
      </c>
      <c r="JM65">
        <v>2.4009999999999998</v>
      </c>
      <c r="JN65">
        <v>2.3370000000000002</v>
      </c>
      <c r="JO65">
        <v>2.7240000000000002</v>
      </c>
      <c r="JP65">
        <v>-5.1760000000000002</v>
      </c>
      <c r="JQ65">
        <v>1.46</v>
      </c>
      <c r="JR65">
        <v>2.2669999999999999</v>
      </c>
      <c r="JS65">
        <v>2.9289999999999998</v>
      </c>
      <c r="JT65">
        <v>0.93500000000000005</v>
      </c>
      <c r="JU65">
        <v>2.1179999999999999</v>
      </c>
      <c r="JV65">
        <v>2.0249999999999999</v>
      </c>
      <c r="JW65">
        <v>3.536</v>
      </c>
      <c r="JX65">
        <v>1.742</v>
      </c>
      <c r="JY65">
        <v>-3.92</v>
      </c>
      <c r="JZ65">
        <v>-3.4660000000000002</v>
      </c>
      <c r="KA65">
        <v>0.501</v>
      </c>
      <c r="KB65">
        <v>1.8160000000000001</v>
      </c>
      <c r="KC65">
        <v>2.363</v>
      </c>
      <c r="KD65">
        <v>2.5009999999999999</v>
      </c>
      <c r="KE65">
        <v>-2.786</v>
      </c>
      <c r="KF65">
        <v>-8.5030000000000001</v>
      </c>
      <c r="KG65">
        <v>3.5760000000000001</v>
      </c>
      <c r="KH65">
        <v>3.5339999999999998</v>
      </c>
      <c r="KI65">
        <v>2.7160000000000002</v>
      </c>
      <c r="KJ65">
        <v>1.409</v>
      </c>
      <c r="KK65">
        <v>3.1749999999999998</v>
      </c>
      <c r="KL65">
        <v>-3.5030000000000001</v>
      </c>
      <c r="KM65">
        <v>-3.339</v>
      </c>
      <c r="KN65">
        <v>1.3640000000000001</v>
      </c>
      <c r="KO65">
        <v>0.54400000000000004</v>
      </c>
      <c r="KP65">
        <v>-1.9690000000000001</v>
      </c>
      <c r="KQ65">
        <v>-10.1</v>
      </c>
      <c r="KR65">
        <v>-9.6539999999999999</v>
      </c>
    </row>
    <row r="66" spans="1:304" x14ac:dyDescent="0.25">
      <c r="A66">
        <v>2019</v>
      </c>
      <c r="B66">
        <v>3</v>
      </c>
      <c r="C66">
        <v>-7.4889999999999999</v>
      </c>
      <c r="D66">
        <v>2.226</v>
      </c>
      <c r="E66">
        <v>3.8980000000000001</v>
      </c>
      <c r="F66">
        <v>3.3730000000000002</v>
      </c>
      <c r="G66">
        <v>3.169</v>
      </c>
      <c r="H66">
        <v>2.1179999999999999</v>
      </c>
      <c r="I66">
        <v>-6.8440000000000003</v>
      </c>
      <c r="J66">
        <v>-5.835</v>
      </c>
      <c r="K66">
        <v>1.391</v>
      </c>
      <c r="L66">
        <v>2.3170000000000002</v>
      </c>
      <c r="M66">
        <v>0.625</v>
      </c>
      <c r="N66">
        <v>2.4129999999999998</v>
      </c>
      <c r="O66">
        <v>-3.2970000000000002</v>
      </c>
      <c r="P66">
        <v>5.0039999999999996</v>
      </c>
      <c r="Q66">
        <v>-4.5640000000000001</v>
      </c>
      <c r="R66">
        <v>3.1059999999999999</v>
      </c>
      <c r="S66">
        <v>-0.44900000000000001</v>
      </c>
      <c r="T66">
        <v>4.4269999999999996</v>
      </c>
      <c r="U66">
        <v>8.5000000000000006E-2</v>
      </c>
      <c r="V66">
        <v>2.5259999999999998</v>
      </c>
      <c r="W66">
        <v>2.1560000000000001</v>
      </c>
      <c r="X66">
        <v>4.2869999999999999</v>
      </c>
      <c r="Y66">
        <v>4.8250000000000002</v>
      </c>
      <c r="Z66">
        <v>-3.0760000000000001</v>
      </c>
      <c r="AA66">
        <v>5.5039999999999996</v>
      </c>
      <c r="AB66">
        <v>4.7039999999999997</v>
      </c>
      <c r="AC66">
        <v>0.76900000000000002</v>
      </c>
      <c r="AD66">
        <v>2.3980000000000001</v>
      </c>
      <c r="AE66">
        <v>2.375</v>
      </c>
      <c r="AF66">
        <v>1.5629999999999999</v>
      </c>
      <c r="AG66">
        <v>-1.052</v>
      </c>
      <c r="AH66">
        <v>-4.6349999999999998</v>
      </c>
      <c r="AI66">
        <v>-1.2929999999999999</v>
      </c>
      <c r="AJ66">
        <v>2.4119999999999999</v>
      </c>
      <c r="AK66">
        <v>3.4780000000000002</v>
      </c>
      <c r="AL66">
        <v>1.7</v>
      </c>
      <c r="AM66">
        <v>2.1419999999999999</v>
      </c>
      <c r="AN66">
        <v>4.9059999999999997</v>
      </c>
      <c r="AO66">
        <v>3.327</v>
      </c>
      <c r="AP66">
        <v>0.67400000000000004</v>
      </c>
      <c r="AQ66">
        <v>4.5599999999999996</v>
      </c>
      <c r="AR66">
        <v>2.5430000000000001</v>
      </c>
      <c r="AS66">
        <v>5.2889999999999997</v>
      </c>
      <c r="AT66">
        <v>-6.4000000000000001E-2</v>
      </c>
      <c r="AU66">
        <v>0.55600000000000005</v>
      </c>
      <c r="AV66">
        <v>1.079</v>
      </c>
      <c r="AW66">
        <v>2.6779999999999999</v>
      </c>
      <c r="AX66">
        <v>2.2040000000000002</v>
      </c>
      <c r="AY66">
        <v>1.786</v>
      </c>
      <c r="AZ66">
        <v>-4.2220000000000004</v>
      </c>
      <c r="BA66">
        <v>2.863</v>
      </c>
      <c r="BB66">
        <v>-4.008</v>
      </c>
      <c r="BC66">
        <v>-0.41699999999999998</v>
      </c>
      <c r="BD66">
        <v>2.919</v>
      </c>
      <c r="BE66">
        <v>2.1480000000000001</v>
      </c>
      <c r="BF66">
        <v>3.49</v>
      </c>
      <c r="BG66">
        <v>-5.4660000000000002</v>
      </c>
      <c r="BH66">
        <v>-7.0810000000000004</v>
      </c>
      <c r="BI66">
        <v>1.002</v>
      </c>
      <c r="BJ66">
        <v>4.3109999999999999</v>
      </c>
      <c r="BK66">
        <v>3.2970000000000002</v>
      </c>
      <c r="BL66">
        <v>1.8660000000000001</v>
      </c>
      <c r="BM66">
        <v>0.219</v>
      </c>
      <c r="BN66">
        <v>2.359</v>
      </c>
      <c r="BO66">
        <v>1.548</v>
      </c>
      <c r="BP66">
        <v>4.617</v>
      </c>
      <c r="BQ66">
        <v>-2.859</v>
      </c>
      <c r="BR66">
        <v>2.262</v>
      </c>
      <c r="BS66">
        <v>2.1080000000000001</v>
      </c>
      <c r="BT66">
        <v>-4.17</v>
      </c>
      <c r="BU66">
        <v>-3.6629999999999998</v>
      </c>
      <c r="BV66">
        <v>0.39200000000000002</v>
      </c>
      <c r="BW66">
        <v>5.1790000000000003</v>
      </c>
      <c r="BX66">
        <v>-6.4059999999999997</v>
      </c>
      <c r="BY66">
        <v>2.9990000000000001</v>
      </c>
      <c r="BZ66">
        <v>2.984</v>
      </c>
      <c r="CA66">
        <v>3.306</v>
      </c>
      <c r="CB66">
        <v>1.7999999999999999E-2</v>
      </c>
      <c r="CC66">
        <v>2.6739999999999999</v>
      </c>
      <c r="CD66">
        <v>2.1930000000000001</v>
      </c>
      <c r="CE66">
        <v>-0.09</v>
      </c>
      <c r="CF66">
        <v>3.319</v>
      </c>
      <c r="CG66">
        <v>3.4969999999999999</v>
      </c>
      <c r="CH66">
        <v>0.29599999999999999</v>
      </c>
      <c r="CI66">
        <v>-0.70899999999999996</v>
      </c>
      <c r="CJ66">
        <v>3.8759999999999999</v>
      </c>
      <c r="CK66">
        <v>4.2750000000000004</v>
      </c>
      <c r="CL66">
        <v>5.0129999999999999</v>
      </c>
      <c r="CM66">
        <v>3.8050000000000002</v>
      </c>
      <c r="CN66">
        <v>4.4109999999999996</v>
      </c>
      <c r="CO66">
        <v>4.4320000000000004</v>
      </c>
      <c r="CP66">
        <v>-6.4740000000000002</v>
      </c>
      <c r="CQ66">
        <v>-3.4359999999999999</v>
      </c>
      <c r="CR66">
        <v>2.4329999999999998</v>
      </c>
      <c r="CS66">
        <v>2.899</v>
      </c>
      <c r="CT66">
        <v>-4.29</v>
      </c>
      <c r="CU66">
        <v>4.4269999999999996</v>
      </c>
      <c r="CV66">
        <v>-8.6679999999999993</v>
      </c>
      <c r="CW66">
        <v>3.19</v>
      </c>
      <c r="CX66">
        <v>4.4320000000000004</v>
      </c>
      <c r="CY66">
        <v>1.224</v>
      </c>
      <c r="CZ66">
        <v>4.4429999999999996</v>
      </c>
      <c r="DA66">
        <v>2.149</v>
      </c>
      <c r="DB66">
        <v>2.4340000000000002</v>
      </c>
      <c r="DC66">
        <v>1.849</v>
      </c>
      <c r="DD66">
        <v>3.43</v>
      </c>
      <c r="DE66">
        <v>-7.806</v>
      </c>
      <c r="DF66">
        <v>2.8849999999999998</v>
      </c>
      <c r="DG66">
        <v>4.7089999999999996</v>
      </c>
      <c r="DH66">
        <v>1.653</v>
      </c>
      <c r="DI66">
        <v>8.3000000000000004E-2</v>
      </c>
      <c r="DJ66">
        <v>-1.5169999999999999</v>
      </c>
      <c r="DK66">
        <v>5.1280000000000001</v>
      </c>
      <c r="DL66">
        <v>1.72</v>
      </c>
      <c r="DM66">
        <v>2.4020000000000001</v>
      </c>
      <c r="DN66">
        <v>4.2510000000000003</v>
      </c>
      <c r="DO66">
        <v>2.1829999999999998</v>
      </c>
      <c r="DP66">
        <v>4.0430000000000001</v>
      </c>
      <c r="DQ66">
        <v>-7.1680000000000001</v>
      </c>
      <c r="DR66">
        <v>5.2619999999999996</v>
      </c>
      <c r="DS66">
        <v>1.9119999999999999</v>
      </c>
      <c r="DT66">
        <v>4.6909999999999998</v>
      </c>
      <c r="DU66">
        <v>5.2619999999999996</v>
      </c>
      <c r="DV66">
        <v>2.262</v>
      </c>
      <c r="DW66">
        <v>2.0819999999999999</v>
      </c>
      <c r="DX66">
        <v>-0.47499999999999998</v>
      </c>
      <c r="DY66">
        <v>3.55</v>
      </c>
      <c r="DZ66">
        <v>3.194</v>
      </c>
      <c r="EA66">
        <v>2.3159999999999998</v>
      </c>
      <c r="EB66">
        <v>3.5470000000000002</v>
      </c>
      <c r="EC66">
        <v>3.5329999999999999</v>
      </c>
      <c r="ED66">
        <v>0.99099999999999999</v>
      </c>
      <c r="EE66">
        <v>3.3660000000000001</v>
      </c>
      <c r="EF66">
        <v>3.4529999999999998</v>
      </c>
      <c r="EG66">
        <v>-1.304</v>
      </c>
      <c r="EH66">
        <v>5.508</v>
      </c>
      <c r="EI66">
        <v>0.27600000000000002</v>
      </c>
      <c r="EJ66">
        <v>-3.8809999999999998</v>
      </c>
      <c r="EK66">
        <v>5.3040000000000003</v>
      </c>
      <c r="EL66">
        <v>-4.4009999999999998</v>
      </c>
      <c r="EM66">
        <v>4.0119999999999996</v>
      </c>
      <c r="EN66">
        <v>2.8759999999999999</v>
      </c>
      <c r="EO66">
        <v>5.5039999999999996</v>
      </c>
      <c r="EP66">
        <v>-1.341</v>
      </c>
      <c r="EQ66">
        <v>-5.4020000000000001</v>
      </c>
      <c r="ER66">
        <v>3.3860000000000001</v>
      </c>
      <c r="ES66">
        <v>3.9279999999999999</v>
      </c>
      <c r="ET66">
        <v>3.2250000000000001</v>
      </c>
      <c r="EU66">
        <v>3.3340000000000001</v>
      </c>
      <c r="EV66">
        <v>-0.66800000000000004</v>
      </c>
      <c r="EW66">
        <v>2.9169999999999998</v>
      </c>
      <c r="EX66">
        <v>3.2559999999999998</v>
      </c>
      <c r="EY66">
        <v>0.77700000000000002</v>
      </c>
      <c r="EZ66">
        <v>1.524</v>
      </c>
      <c r="FA66">
        <v>4.1070000000000002</v>
      </c>
      <c r="FB66">
        <v>4.3529999999999998</v>
      </c>
      <c r="FC66">
        <v>4.2839999999999998</v>
      </c>
      <c r="FD66">
        <v>2.3319999999999999</v>
      </c>
      <c r="FE66">
        <v>1.0309999999999999</v>
      </c>
      <c r="FF66">
        <v>0.60799999999999998</v>
      </c>
      <c r="FG66">
        <v>-0.81200000000000006</v>
      </c>
      <c r="FH66">
        <v>-2.0489999999999999</v>
      </c>
      <c r="FI66">
        <v>3.081</v>
      </c>
      <c r="FJ66">
        <v>1.4450000000000001</v>
      </c>
      <c r="FK66">
        <v>-4.8239999999999998</v>
      </c>
      <c r="FL66">
        <v>3.9729999999999999</v>
      </c>
      <c r="FM66">
        <v>2.157</v>
      </c>
      <c r="FN66">
        <v>2.6789999999999998</v>
      </c>
      <c r="FO66">
        <v>2.3250000000000002</v>
      </c>
      <c r="FP66">
        <v>2.149</v>
      </c>
      <c r="FQ66">
        <v>4.7E-2</v>
      </c>
      <c r="FR66">
        <v>4.1070000000000002</v>
      </c>
      <c r="FS66">
        <v>-1.123</v>
      </c>
      <c r="FT66">
        <v>3.8359999999999999</v>
      </c>
      <c r="FU66">
        <v>3.9</v>
      </c>
      <c r="FV66">
        <v>3.8530000000000002</v>
      </c>
      <c r="FW66">
        <v>2.8090000000000002</v>
      </c>
      <c r="FX66">
        <v>-6.5650000000000004</v>
      </c>
      <c r="FY66">
        <v>3.8879999999999999</v>
      </c>
      <c r="FZ66">
        <v>-3.3330000000000002</v>
      </c>
      <c r="GA66">
        <v>-7.9349999999999996</v>
      </c>
      <c r="GB66">
        <v>-2.5819999999999999</v>
      </c>
      <c r="GC66">
        <v>4.3</v>
      </c>
      <c r="GD66">
        <v>-0.81399999999999995</v>
      </c>
      <c r="GE66">
        <v>0.90800000000000003</v>
      </c>
      <c r="GF66">
        <v>2.2839999999999998</v>
      </c>
      <c r="GG66">
        <v>0.59899999999999998</v>
      </c>
      <c r="GH66">
        <v>1.853</v>
      </c>
      <c r="GI66">
        <v>4.9489999999999998</v>
      </c>
      <c r="GJ66">
        <v>4.6020000000000003</v>
      </c>
      <c r="GK66">
        <v>3.1019999999999999</v>
      </c>
      <c r="GL66">
        <v>-2.9140000000000001</v>
      </c>
      <c r="GM66">
        <v>0.65600000000000003</v>
      </c>
      <c r="GN66">
        <v>4.7380000000000004</v>
      </c>
      <c r="GO66">
        <v>1.137</v>
      </c>
      <c r="GP66">
        <v>2.8860000000000001</v>
      </c>
      <c r="GQ66">
        <v>0.45300000000000001</v>
      </c>
      <c r="GR66">
        <v>-2.36</v>
      </c>
      <c r="GS66">
        <v>2.3610000000000002</v>
      </c>
      <c r="GT66">
        <v>2.472</v>
      </c>
      <c r="GU66">
        <v>-5.5540000000000003</v>
      </c>
      <c r="GV66">
        <v>4.1230000000000002</v>
      </c>
      <c r="GW66">
        <v>5.2850000000000001</v>
      </c>
      <c r="GX66">
        <v>3.7850000000000001</v>
      </c>
      <c r="GY66">
        <v>2.38</v>
      </c>
      <c r="GZ66">
        <v>2.5049999999999999</v>
      </c>
      <c r="HA66">
        <v>0.92400000000000004</v>
      </c>
      <c r="HB66">
        <v>-4.5599999999999996</v>
      </c>
      <c r="HC66">
        <v>-5.4470000000000001</v>
      </c>
      <c r="HD66">
        <v>2.149</v>
      </c>
      <c r="HE66">
        <v>3.496</v>
      </c>
      <c r="HF66">
        <v>-3.9940000000000002</v>
      </c>
      <c r="HG66">
        <v>2.4790000000000001</v>
      </c>
      <c r="HH66">
        <v>-0.68799999999999994</v>
      </c>
      <c r="HI66">
        <v>1.0389999999999999</v>
      </c>
      <c r="HJ66">
        <v>1.228</v>
      </c>
      <c r="HK66">
        <v>4.9660000000000002</v>
      </c>
      <c r="HL66">
        <v>5.1239999999999997</v>
      </c>
      <c r="HM66">
        <v>-2.8879999999999999</v>
      </c>
      <c r="HN66">
        <v>2.7829999999999999</v>
      </c>
      <c r="HO66">
        <v>-2.972</v>
      </c>
      <c r="HP66">
        <v>3.569</v>
      </c>
      <c r="HQ66">
        <v>2.6779999999999999</v>
      </c>
      <c r="HR66">
        <v>-2.6230000000000002</v>
      </c>
      <c r="HS66">
        <v>-3.51</v>
      </c>
      <c r="HT66">
        <v>0.26700000000000002</v>
      </c>
      <c r="HU66">
        <v>2.4300000000000002</v>
      </c>
      <c r="HV66">
        <v>0.58399999999999996</v>
      </c>
      <c r="HW66">
        <v>3.3079999999999998</v>
      </c>
      <c r="HX66">
        <v>2.214</v>
      </c>
      <c r="HY66">
        <v>4.78</v>
      </c>
      <c r="HZ66">
        <v>3.31</v>
      </c>
      <c r="IA66">
        <v>3.2109999999999999</v>
      </c>
      <c r="IB66">
        <v>2.7509999999999999</v>
      </c>
      <c r="IC66">
        <v>1.0649999999999999</v>
      </c>
      <c r="ID66">
        <v>-1.1719999999999999</v>
      </c>
      <c r="IE66">
        <v>3.53</v>
      </c>
      <c r="IF66">
        <v>4.1890000000000001</v>
      </c>
      <c r="IG66">
        <v>4.593</v>
      </c>
      <c r="IH66">
        <v>0.40799999999999997</v>
      </c>
      <c r="II66">
        <v>4.3250000000000002</v>
      </c>
      <c r="IJ66">
        <v>2.6469999999999998</v>
      </c>
      <c r="IK66">
        <v>2.786</v>
      </c>
      <c r="IL66">
        <v>5.1159999999999997</v>
      </c>
      <c r="IM66">
        <v>3.4350000000000001</v>
      </c>
      <c r="IN66">
        <v>2.3759999999999999</v>
      </c>
      <c r="IO66">
        <v>2.1819999999999999</v>
      </c>
      <c r="IP66">
        <v>2.2730000000000001</v>
      </c>
      <c r="IQ66">
        <v>-4.3040000000000003</v>
      </c>
      <c r="IR66">
        <v>0.88300000000000001</v>
      </c>
      <c r="IS66">
        <v>3.09</v>
      </c>
      <c r="IT66">
        <v>3.5459999999999998</v>
      </c>
      <c r="IU66">
        <v>3.6829999999999998</v>
      </c>
      <c r="IV66">
        <v>2.2770000000000001</v>
      </c>
      <c r="IW66">
        <v>-2.3580000000000001</v>
      </c>
      <c r="IX66">
        <v>1.994</v>
      </c>
      <c r="IY66">
        <v>2.1230000000000002</v>
      </c>
      <c r="IZ66">
        <v>1.554</v>
      </c>
      <c r="JA66">
        <v>3.2240000000000002</v>
      </c>
      <c r="JB66">
        <v>2.629</v>
      </c>
      <c r="JC66">
        <v>3.5310000000000001</v>
      </c>
      <c r="JD66">
        <v>1.702</v>
      </c>
      <c r="JE66">
        <v>-0.81499999999999995</v>
      </c>
      <c r="JF66">
        <v>3.3540000000000001</v>
      </c>
      <c r="JG66">
        <v>4.5339999999999998</v>
      </c>
      <c r="JH66">
        <v>2.6640000000000001</v>
      </c>
      <c r="JI66">
        <v>-5.3109999999999999</v>
      </c>
      <c r="JJ66">
        <v>3.2309999999999999</v>
      </c>
      <c r="JK66">
        <v>-3.7770000000000001</v>
      </c>
      <c r="JL66">
        <v>2.399</v>
      </c>
      <c r="JM66">
        <v>3</v>
      </c>
      <c r="JN66">
        <v>3.0750000000000002</v>
      </c>
      <c r="JO66">
        <v>3.41</v>
      </c>
      <c r="JP66">
        <v>-2.923</v>
      </c>
      <c r="JQ66">
        <v>2.1560000000000001</v>
      </c>
      <c r="JR66">
        <v>3.1480000000000001</v>
      </c>
      <c r="JS66">
        <v>3.93</v>
      </c>
      <c r="JT66">
        <v>1.7909999999999999</v>
      </c>
      <c r="JU66">
        <v>3.149</v>
      </c>
      <c r="JV66">
        <v>2.661</v>
      </c>
      <c r="JW66">
        <v>4.6689999999999996</v>
      </c>
      <c r="JX66">
        <v>2.819</v>
      </c>
      <c r="JY66">
        <v>-2.2570000000000001</v>
      </c>
      <c r="JZ66">
        <v>-3.9849999999999999</v>
      </c>
      <c r="KA66">
        <v>1.605</v>
      </c>
      <c r="KB66">
        <v>2.6960000000000002</v>
      </c>
      <c r="KC66">
        <v>3.0760000000000001</v>
      </c>
      <c r="KD66">
        <v>3.484</v>
      </c>
      <c r="KE66">
        <v>-1.696</v>
      </c>
      <c r="KF66">
        <v>-4.3739999999999997</v>
      </c>
      <c r="KG66">
        <v>4.883</v>
      </c>
      <c r="KH66">
        <v>4.5620000000000003</v>
      </c>
      <c r="KI66">
        <v>3.2440000000000002</v>
      </c>
      <c r="KJ66">
        <v>2.234</v>
      </c>
      <c r="KK66">
        <v>4.2910000000000004</v>
      </c>
      <c r="KL66">
        <v>-1.772</v>
      </c>
      <c r="KM66">
        <v>-3.3050000000000002</v>
      </c>
      <c r="KN66">
        <v>1.9850000000000001</v>
      </c>
      <c r="KO66">
        <v>1.1970000000000001</v>
      </c>
      <c r="KP66">
        <v>-0.58299999999999996</v>
      </c>
      <c r="KQ66">
        <v>-4.9349999999999996</v>
      </c>
      <c r="KR66">
        <v>-4.8109999999999999</v>
      </c>
    </row>
    <row r="67" spans="1:304" x14ac:dyDescent="0.25">
      <c r="A67">
        <v>2019</v>
      </c>
      <c r="B67">
        <v>4</v>
      </c>
      <c r="C67">
        <v>-0.55700000000000005</v>
      </c>
      <c r="D67">
        <v>6.8570000000000002</v>
      </c>
      <c r="E67">
        <v>8.2710000000000008</v>
      </c>
      <c r="F67">
        <v>7.7649999999999997</v>
      </c>
      <c r="G67">
        <v>7.5039999999999996</v>
      </c>
      <c r="H67">
        <v>7.0430000000000001</v>
      </c>
      <c r="I67">
        <v>0.90600000000000003</v>
      </c>
      <c r="J67">
        <v>2.2490000000000001</v>
      </c>
      <c r="K67">
        <v>6.976</v>
      </c>
      <c r="L67">
        <v>7.1429999999999998</v>
      </c>
      <c r="M67">
        <v>6.2679999999999998</v>
      </c>
      <c r="N67">
        <v>7.2480000000000002</v>
      </c>
      <c r="O67">
        <v>4.2439999999999998</v>
      </c>
      <c r="P67">
        <v>8.4640000000000004</v>
      </c>
      <c r="Q67">
        <v>3.3029999999999999</v>
      </c>
      <c r="R67">
        <v>7.9589999999999996</v>
      </c>
      <c r="S67">
        <v>5.0679999999999996</v>
      </c>
      <c r="T67">
        <v>6.3040000000000003</v>
      </c>
      <c r="U67">
        <v>5.8890000000000002</v>
      </c>
      <c r="V67">
        <v>7.5270000000000001</v>
      </c>
      <c r="W67">
        <v>6.1669999999999998</v>
      </c>
      <c r="X67">
        <v>7.7359999999999998</v>
      </c>
      <c r="Y67">
        <v>7.6130000000000004</v>
      </c>
      <c r="Z67">
        <v>3.2919999999999998</v>
      </c>
      <c r="AA67">
        <v>8.6029999999999998</v>
      </c>
      <c r="AB67">
        <v>8.1620000000000008</v>
      </c>
      <c r="AC67">
        <v>6.508</v>
      </c>
      <c r="AD67">
        <v>7.032</v>
      </c>
      <c r="AE67">
        <v>6.702</v>
      </c>
      <c r="AF67">
        <v>7.1470000000000002</v>
      </c>
      <c r="AG67">
        <v>4.53</v>
      </c>
      <c r="AH67">
        <v>3.0129999999999999</v>
      </c>
      <c r="AI67">
        <v>4.6139999999999999</v>
      </c>
      <c r="AJ67">
        <v>6.5519999999999996</v>
      </c>
      <c r="AK67">
        <v>6.8209999999999997</v>
      </c>
      <c r="AL67">
        <v>6.5990000000000002</v>
      </c>
      <c r="AM67">
        <v>6.835</v>
      </c>
      <c r="AN67">
        <v>8.1310000000000002</v>
      </c>
      <c r="AO67">
        <v>7.4039999999999999</v>
      </c>
      <c r="AP67">
        <v>6.4240000000000004</v>
      </c>
      <c r="AQ67">
        <v>8.3030000000000008</v>
      </c>
      <c r="AR67">
        <v>7.234</v>
      </c>
      <c r="AS67">
        <v>7.5990000000000002</v>
      </c>
      <c r="AT67">
        <v>5.8259999999999996</v>
      </c>
      <c r="AU67">
        <v>6.5510000000000002</v>
      </c>
      <c r="AV67">
        <v>5.9160000000000004</v>
      </c>
      <c r="AW67">
        <v>6.6820000000000004</v>
      </c>
      <c r="AX67">
        <v>6.484</v>
      </c>
      <c r="AY67">
        <v>7.5910000000000002</v>
      </c>
      <c r="AZ67">
        <v>3.601</v>
      </c>
      <c r="BA67">
        <v>7.2469999999999999</v>
      </c>
      <c r="BB67">
        <v>3.835</v>
      </c>
      <c r="BC67">
        <v>5.5570000000000004</v>
      </c>
      <c r="BD67">
        <v>7.5579999999999998</v>
      </c>
      <c r="BE67">
        <v>5.9649999999999999</v>
      </c>
      <c r="BF67">
        <v>7.5819999999999999</v>
      </c>
      <c r="BG67">
        <v>2.6040000000000001</v>
      </c>
      <c r="BH67">
        <v>1.786</v>
      </c>
      <c r="BI67">
        <v>5.5590000000000002</v>
      </c>
      <c r="BJ67">
        <v>8.9130000000000003</v>
      </c>
      <c r="BK67">
        <v>7.7030000000000003</v>
      </c>
      <c r="BL67">
        <v>6.7629999999999999</v>
      </c>
      <c r="BM67">
        <v>6.3639999999999999</v>
      </c>
      <c r="BN67">
        <v>7.1689999999999996</v>
      </c>
      <c r="BO67">
        <v>6.7839999999999998</v>
      </c>
      <c r="BP67">
        <v>8.5329999999999995</v>
      </c>
      <c r="BQ67">
        <v>4.04</v>
      </c>
      <c r="BR67">
        <v>6.7380000000000004</v>
      </c>
      <c r="BS67">
        <v>5.4569999999999999</v>
      </c>
      <c r="BT67">
        <v>2.105</v>
      </c>
      <c r="BU67">
        <v>2.3029999999999999</v>
      </c>
      <c r="BV67">
        <v>6.1580000000000004</v>
      </c>
      <c r="BW67">
        <v>8.4700000000000006</v>
      </c>
      <c r="BX67">
        <v>5.3999999999999999E-2</v>
      </c>
      <c r="BY67">
        <v>6.6980000000000004</v>
      </c>
      <c r="BZ67">
        <v>7.5140000000000002</v>
      </c>
      <c r="CA67">
        <v>6.6050000000000004</v>
      </c>
      <c r="CB67">
        <v>5.6829999999999998</v>
      </c>
      <c r="CC67">
        <v>7.5679999999999996</v>
      </c>
      <c r="CD67">
        <v>6.2050000000000001</v>
      </c>
      <c r="CE67">
        <v>4.7930000000000001</v>
      </c>
      <c r="CF67">
        <v>6.1180000000000003</v>
      </c>
      <c r="CG67">
        <v>7.484</v>
      </c>
      <c r="CH67">
        <v>6.367</v>
      </c>
      <c r="CI67">
        <v>3.9649999999999999</v>
      </c>
      <c r="CJ67">
        <v>8.6310000000000002</v>
      </c>
      <c r="CK67">
        <v>7.2919999999999998</v>
      </c>
      <c r="CL67">
        <v>8.1039999999999992</v>
      </c>
      <c r="CM67">
        <v>6.3730000000000002</v>
      </c>
      <c r="CN67">
        <v>7.492</v>
      </c>
      <c r="CO67">
        <v>7.556</v>
      </c>
      <c r="CP67">
        <v>2.1379999999999999</v>
      </c>
      <c r="CQ67">
        <v>3.5470000000000002</v>
      </c>
      <c r="CR67">
        <v>7.0460000000000003</v>
      </c>
      <c r="CS67">
        <v>7.0780000000000003</v>
      </c>
      <c r="CT67">
        <v>2.5270000000000001</v>
      </c>
      <c r="CU67">
        <v>6.6689999999999996</v>
      </c>
      <c r="CV67">
        <v>0.66600000000000004</v>
      </c>
      <c r="CW67">
        <v>6.7050000000000001</v>
      </c>
      <c r="CX67">
        <v>7.4880000000000004</v>
      </c>
      <c r="CY67">
        <v>6.8810000000000002</v>
      </c>
      <c r="CZ67">
        <v>7.5149999999999997</v>
      </c>
      <c r="DA67">
        <v>7.2939999999999996</v>
      </c>
      <c r="DB67">
        <v>6.7009999999999996</v>
      </c>
      <c r="DC67">
        <v>7.516</v>
      </c>
      <c r="DD67">
        <v>8.1229999999999993</v>
      </c>
      <c r="DE67">
        <v>0.86899999999999999</v>
      </c>
      <c r="DF67">
        <v>5.88</v>
      </c>
      <c r="DG67">
        <v>8.0830000000000002</v>
      </c>
      <c r="DH67">
        <v>6.516</v>
      </c>
      <c r="DI67">
        <v>6.298</v>
      </c>
      <c r="DJ67">
        <v>4.3209999999999997</v>
      </c>
      <c r="DK67">
        <v>7.4509999999999996</v>
      </c>
      <c r="DL67">
        <v>7.3049999999999997</v>
      </c>
      <c r="DM67">
        <v>7.2640000000000002</v>
      </c>
      <c r="DN67">
        <v>8.74</v>
      </c>
      <c r="DO67">
        <v>6.9610000000000003</v>
      </c>
      <c r="DP67">
        <v>8.5090000000000003</v>
      </c>
      <c r="DQ67">
        <v>1.2050000000000001</v>
      </c>
      <c r="DR67">
        <v>8.4049999999999994</v>
      </c>
      <c r="DS67">
        <v>6.9130000000000003</v>
      </c>
      <c r="DT67">
        <v>8.1790000000000003</v>
      </c>
      <c r="DU67">
        <v>8.3019999999999996</v>
      </c>
      <c r="DV67">
        <v>7.2939999999999996</v>
      </c>
      <c r="DW67">
        <v>7.2160000000000002</v>
      </c>
      <c r="DX67">
        <v>5.4880000000000004</v>
      </c>
      <c r="DY67">
        <v>8.1869999999999994</v>
      </c>
      <c r="DZ67">
        <v>6.9950000000000001</v>
      </c>
      <c r="EA67">
        <v>6.4930000000000003</v>
      </c>
      <c r="EB67">
        <v>7.9539999999999997</v>
      </c>
      <c r="EC67">
        <v>7.6369999999999996</v>
      </c>
      <c r="ED67">
        <v>6.9109999999999996</v>
      </c>
      <c r="EE67">
        <v>6.7869999999999999</v>
      </c>
      <c r="EF67">
        <v>7.4989999999999997</v>
      </c>
      <c r="EG67">
        <v>4.6150000000000002</v>
      </c>
      <c r="EH67">
        <v>8.5839999999999996</v>
      </c>
      <c r="EI67">
        <v>6.282</v>
      </c>
      <c r="EJ67">
        <v>2.738</v>
      </c>
      <c r="EK67">
        <v>8.4239999999999995</v>
      </c>
      <c r="EL67">
        <v>3.17</v>
      </c>
      <c r="EM67">
        <v>8.2420000000000009</v>
      </c>
      <c r="EN67">
        <v>6.5890000000000004</v>
      </c>
      <c r="EO67">
        <v>8.6509999999999998</v>
      </c>
      <c r="EP67">
        <v>4.4269999999999996</v>
      </c>
      <c r="EQ67">
        <v>2.5089999999999999</v>
      </c>
      <c r="ER67">
        <v>7.6130000000000004</v>
      </c>
      <c r="ES67">
        <v>7.6429999999999998</v>
      </c>
      <c r="ET67">
        <v>7.1509999999999998</v>
      </c>
      <c r="EU67">
        <v>7.0490000000000004</v>
      </c>
      <c r="EV67">
        <v>4.9710000000000001</v>
      </c>
      <c r="EW67">
        <v>7.15</v>
      </c>
      <c r="EX67">
        <v>7.7619999999999996</v>
      </c>
      <c r="EY67">
        <v>6.7560000000000002</v>
      </c>
      <c r="EZ67">
        <v>6.4829999999999997</v>
      </c>
      <c r="FA67">
        <v>8.8019999999999996</v>
      </c>
      <c r="FB67">
        <v>6.165</v>
      </c>
      <c r="FC67">
        <v>6.6180000000000003</v>
      </c>
      <c r="FD67">
        <v>6.4889999999999999</v>
      </c>
      <c r="FE67">
        <v>6.7839999999999998</v>
      </c>
      <c r="FF67">
        <v>6.3419999999999996</v>
      </c>
      <c r="FG67">
        <v>4.7069999999999999</v>
      </c>
      <c r="FH67">
        <v>3.738</v>
      </c>
      <c r="FI67">
        <v>6.5620000000000003</v>
      </c>
      <c r="FJ67">
        <v>5.359</v>
      </c>
      <c r="FK67">
        <v>2.99</v>
      </c>
      <c r="FL67">
        <v>6.5940000000000003</v>
      </c>
      <c r="FM67">
        <v>6.2519999999999998</v>
      </c>
      <c r="FN67">
        <v>6.1689999999999996</v>
      </c>
      <c r="FO67">
        <v>4.931</v>
      </c>
      <c r="FP67">
        <v>6.5179999999999998</v>
      </c>
      <c r="FQ67">
        <v>5.1740000000000004</v>
      </c>
      <c r="FR67">
        <v>7.7119999999999997</v>
      </c>
      <c r="FS67">
        <v>4.694</v>
      </c>
      <c r="FT67">
        <v>8.3339999999999996</v>
      </c>
      <c r="FU67">
        <v>7.569</v>
      </c>
      <c r="FV67">
        <v>5.7270000000000003</v>
      </c>
      <c r="FW67">
        <v>5.6769999999999996</v>
      </c>
      <c r="FX67">
        <v>2.2309999999999999</v>
      </c>
      <c r="FY67">
        <v>8.5510000000000002</v>
      </c>
      <c r="FZ67">
        <v>3.6659999999999999</v>
      </c>
      <c r="GA67">
        <v>-1.0149999999999999</v>
      </c>
      <c r="GB67">
        <v>3.5670000000000002</v>
      </c>
      <c r="GC67">
        <v>7.5369999999999999</v>
      </c>
      <c r="GD67">
        <v>5.2050000000000001</v>
      </c>
      <c r="GE67">
        <v>6.3979999999999997</v>
      </c>
      <c r="GF67">
        <v>6.6619999999999999</v>
      </c>
      <c r="GG67">
        <v>5.8129999999999997</v>
      </c>
      <c r="GH67">
        <v>6.6710000000000003</v>
      </c>
      <c r="GI67">
        <v>6.5289999999999999</v>
      </c>
      <c r="GJ67">
        <v>7.5140000000000002</v>
      </c>
      <c r="GK67">
        <v>7.8360000000000003</v>
      </c>
      <c r="GL67">
        <v>3.9089999999999998</v>
      </c>
      <c r="GM67">
        <v>6.5830000000000002</v>
      </c>
      <c r="GN67">
        <v>7.6</v>
      </c>
      <c r="GO67">
        <v>5.3460000000000001</v>
      </c>
      <c r="GP67">
        <v>7.1539999999999999</v>
      </c>
      <c r="GQ67">
        <v>6.3550000000000004</v>
      </c>
      <c r="GR67">
        <v>4.0369999999999999</v>
      </c>
      <c r="GS67">
        <v>6.8760000000000003</v>
      </c>
      <c r="GT67">
        <v>6.9240000000000004</v>
      </c>
      <c r="GU67">
        <v>2.3220000000000001</v>
      </c>
      <c r="GV67">
        <v>8.0069999999999997</v>
      </c>
      <c r="GW67">
        <v>8.3819999999999997</v>
      </c>
      <c r="GX67">
        <v>8.3089999999999993</v>
      </c>
      <c r="GY67">
        <v>6.6879999999999997</v>
      </c>
      <c r="GZ67">
        <v>7.0359999999999996</v>
      </c>
      <c r="HA67">
        <v>6.9450000000000003</v>
      </c>
      <c r="HB67">
        <v>1.528</v>
      </c>
      <c r="HC67">
        <v>2.1970000000000001</v>
      </c>
      <c r="HD67">
        <v>6.6310000000000002</v>
      </c>
      <c r="HE67">
        <v>8.3940000000000001</v>
      </c>
      <c r="HF67">
        <v>3.0920000000000001</v>
      </c>
      <c r="HG67">
        <v>6.9969999999999999</v>
      </c>
      <c r="HH67">
        <v>4.5640000000000001</v>
      </c>
      <c r="HI67">
        <v>6.7140000000000004</v>
      </c>
      <c r="HJ67">
        <v>6.68</v>
      </c>
      <c r="HK67">
        <v>8.2569999999999997</v>
      </c>
      <c r="HL67">
        <v>8.2409999999999997</v>
      </c>
      <c r="HM67">
        <v>2.7890000000000001</v>
      </c>
      <c r="HN67">
        <v>7.43</v>
      </c>
      <c r="HO67">
        <v>3.1219999999999999</v>
      </c>
      <c r="HP67">
        <v>7.5439999999999996</v>
      </c>
      <c r="HQ67">
        <v>6.9820000000000002</v>
      </c>
      <c r="HR67">
        <v>3.653</v>
      </c>
      <c r="HS67">
        <v>1.9219999999999999</v>
      </c>
      <c r="HT67">
        <v>6.0449999999999999</v>
      </c>
      <c r="HU67">
        <v>6.6079999999999997</v>
      </c>
      <c r="HV67">
        <v>4.7439999999999998</v>
      </c>
      <c r="HW67">
        <v>6.1429999999999998</v>
      </c>
      <c r="HX67">
        <v>6.43</v>
      </c>
      <c r="HY67">
        <v>7.2919999999999998</v>
      </c>
      <c r="HZ67">
        <v>8.1470000000000002</v>
      </c>
      <c r="IA67">
        <v>7.242</v>
      </c>
      <c r="IB67">
        <v>7.1769999999999996</v>
      </c>
      <c r="IC67">
        <v>6.0730000000000004</v>
      </c>
      <c r="ID67">
        <v>4.306</v>
      </c>
      <c r="IE67">
        <v>7.3470000000000004</v>
      </c>
      <c r="IF67">
        <v>8.3089999999999993</v>
      </c>
      <c r="IG67">
        <v>7.141</v>
      </c>
      <c r="IH67">
        <v>6.2510000000000003</v>
      </c>
      <c r="II67">
        <v>6.7210000000000001</v>
      </c>
      <c r="IJ67">
        <v>7.3179999999999996</v>
      </c>
      <c r="IK67">
        <v>6.9269999999999996</v>
      </c>
      <c r="IL67">
        <v>7.649</v>
      </c>
      <c r="IM67">
        <v>7.4089999999999998</v>
      </c>
      <c r="IN67">
        <v>5.5650000000000004</v>
      </c>
      <c r="IO67">
        <v>5.9530000000000003</v>
      </c>
      <c r="IP67">
        <v>6.5860000000000003</v>
      </c>
      <c r="IQ67">
        <v>1.7529999999999999</v>
      </c>
      <c r="IR67">
        <v>6.2009999999999996</v>
      </c>
      <c r="IS67">
        <v>7.7389999999999999</v>
      </c>
      <c r="IT67">
        <v>7.9539999999999997</v>
      </c>
      <c r="IU67">
        <v>7.7709999999999999</v>
      </c>
      <c r="IV67">
        <v>7.0679999999999996</v>
      </c>
      <c r="IW67">
        <v>3.9369999999999998</v>
      </c>
      <c r="IX67">
        <v>6.8380000000000001</v>
      </c>
      <c r="IY67">
        <v>6.6769999999999996</v>
      </c>
      <c r="IZ67">
        <v>6.5640000000000001</v>
      </c>
      <c r="JA67">
        <v>7.0250000000000004</v>
      </c>
      <c r="JB67">
        <v>6.992</v>
      </c>
      <c r="JC67">
        <v>5.593</v>
      </c>
      <c r="JD67">
        <v>5.9050000000000002</v>
      </c>
      <c r="JE67">
        <v>5.3220000000000001</v>
      </c>
      <c r="JF67">
        <v>7.77</v>
      </c>
      <c r="JG67">
        <v>8.3130000000000006</v>
      </c>
      <c r="JH67">
        <v>6.4820000000000002</v>
      </c>
      <c r="JI67">
        <v>2.4129999999999998</v>
      </c>
      <c r="JJ67">
        <v>6.0339999999999998</v>
      </c>
      <c r="JK67">
        <v>3.645</v>
      </c>
      <c r="JL67">
        <v>7.0490000000000004</v>
      </c>
      <c r="JM67">
        <v>6.4850000000000003</v>
      </c>
      <c r="JN67">
        <v>7.49</v>
      </c>
      <c r="JO67">
        <v>7.399</v>
      </c>
      <c r="JP67">
        <v>3.972</v>
      </c>
      <c r="JQ67">
        <v>5.9290000000000003</v>
      </c>
      <c r="JR67">
        <v>7.516</v>
      </c>
      <c r="JS67">
        <v>5.4169999999999998</v>
      </c>
      <c r="JT67">
        <v>6.9039999999999999</v>
      </c>
      <c r="JU67">
        <v>7.5730000000000004</v>
      </c>
      <c r="JV67">
        <v>6.2290000000000001</v>
      </c>
      <c r="JW67">
        <v>6.9729999999999999</v>
      </c>
      <c r="JX67">
        <v>7.0439999999999996</v>
      </c>
      <c r="JY67">
        <v>3.8839999999999999</v>
      </c>
      <c r="JZ67">
        <v>3.069</v>
      </c>
      <c r="KA67">
        <v>6.8170000000000002</v>
      </c>
      <c r="KB67">
        <v>6.2539999999999996</v>
      </c>
      <c r="KC67">
        <v>5.7670000000000003</v>
      </c>
      <c r="KD67">
        <v>7.3929999999999998</v>
      </c>
      <c r="KE67">
        <v>4.4450000000000003</v>
      </c>
      <c r="KF67">
        <v>3.6219999999999999</v>
      </c>
      <c r="KG67">
        <v>8.3610000000000007</v>
      </c>
      <c r="KH67">
        <v>8.4949999999999992</v>
      </c>
      <c r="KI67">
        <v>6.9989999999999997</v>
      </c>
      <c r="KJ67">
        <v>7.4450000000000003</v>
      </c>
      <c r="KK67">
        <v>7.7859999999999996</v>
      </c>
      <c r="KL67">
        <v>3.9180000000000001</v>
      </c>
      <c r="KM67">
        <v>4.0339999999999998</v>
      </c>
      <c r="KN67">
        <v>5.9790000000000001</v>
      </c>
      <c r="KO67">
        <v>5.5270000000000001</v>
      </c>
      <c r="KP67">
        <v>5.3120000000000003</v>
      </c>
      <c r="KQ67">
        <v>2.9329999999999998</v>
      </c>
      <c r="KR67">
        <v>3.0659999999999998</v>
      </c>
    </row>
    <row r="68" spans="1:304" x14ac:dyDescent="0.25">
      <c r="A68">
        <v>2019</v>
      </c>
      <c r="B68">
        <v>5</v>
      </c>
      <c r="C68">
        <v>2.9209999999999998</v>
      </c>
      <c r="D68">
        <v>10.808999999999999</v>
      </c>
      <c r="E68">
        <v>10.029999999999999</v>
      </c>
      <c r="F68">
        <v>9.6809999999999992</v>
      </c>
      <c r="G68">
        <v>9.7420000000000009</v>
      </c>
      <c r="H68">
        <v>10.574999999999999</v>
      </c>
      <c r="I68">
        <v>4.444</v>
      </c>
      <c r="J68">
        <v>5.0919999999999996</v>
      </c>
      <c r="K68">
        <v>9.3510000000000009</v>
      </c>
      <c r="L68">
        <v>9.7759999999999998</v>
      </c>
      <c r="M68">
        <v>9.673</v>
      </c>
      <c r="N68">
        <v>9.7170000000000005</v>
      </c>
      <c r="O68">
        <v>7.2270000000000003</v>
      </c>
      <c r="P68">
        <v>10.837</v>
      </c>
      <c r="Q68">
        <v>7.306</v>
      </c>
      <c r="R68">
        <v>9.6129999999999995</v>
      </c>
      <c r="S68">
        <v>8.484</v>
      </c>
      <c r="T68">
        <v>10.430999999999999</v>
      </c>
      <c r="U68">
        <v>9.0660000000000007</v>
      </c>
      <c r="V68">
        <v>9.2050000000000001</v>
      </c>
      <c r="W68">
        <v>10.194000000000001</v>
      </c>
      <c r="X68">
        <v>10.269</v>
      </c>
      <c r="Y68">
        <v>10.708</v>
      </c>
      <c r="Z68">
        <v>6.4589999999999996</v>
      </c>
      <c r="AA68">
        <v>11.352</v>
      </c>
      <c r="AB68">
        <v>10.484</v>
      </c>
      <c r="AC68">
        <v>8.9339999999999993</v>
      </c>
      <c r="AD68">
        <v>9.5830000000000002</v>
      </c>
      <c r="AE68">
        <v>10.592000000000001</v>
      </c>
      <c r="AF68">
        <v>9.7520000000000007</v>
      </c>
      <c r="AG68">
        <v>8.15</v>
      </c>
      <c r="AH68">
        <v>6.4610000000000003</v>
      </c>
      <c r="AI68">
        <v>7.9480000000000004</v>
      </c>
      <c r="AJ68">
        <v>9.3759999999999994</v>
      </c>
      <c r="AK68">
        <v>10.103</v>
      </c>
      <c r="AL68">
        <v>10.393000000000001</v>
      </c>
      <c r="AM68">
        <v>10.531000000000001</v>
      </c>
      <c r="AN68">
        <v>10.76</v>
      </c>
      <c r="AO68">
        <v>9.8079999999999998</v>
      </c>
      <c r="AP68">
        <v>9.7040000000000006</v>
      </c>
      <c r="AQ68">
        <v>10.435</v>
      </c>
      <c r="AR68">
        <v>9.266</v>
      </c>
      <c r="AS68">
        <v>10.561999999999999</v>
      </c>
      <c r="AT68">
        <v>9.2270000000000003</v>
      </c>
      <c r="AU68">
        <v>8.9819999999999993</v>
      </c>
      <c r="AV68">
        <v>9.2949999999999999</v>
      </c>
      <c r="AW68">
        <v>10.26</v>
      </c>
      <c r="AX68">
        <v>10.407999999999999</v>
      </c>
      <c r="AY68">
        <v>9.8670000000000009</v>
      </c>
      <c r="AZ68">
        <v>6.4530000000000003</v>
      </c>
      <c r="BA68">
        <v>9.6649999999999991</v>
      </c>
      <c r="BB68">
        <v>5.8550000000000004</v>
      </c>
      <c r="BC68">
        <v>8.5340000000000007</v>
      </c>
      <c r="BD68">
        <v>9.5719999999999992</v>
      </c>
      <c r="BE68">
        <v>10.194000000000001</v>
      </c>
      <c r="BF68">
        <v>9.9789999999999992</v>
      </c>
      <c r="BG68">
        <v>5.6749999999999998</v>
      </c>
      <c r="BH68">
        <v>5.0650000000000004</v>
      </c>
      <c r="BI68">
        <v>8.6310000000000002</v>
      </c>
      <c r="BJ68">
        <v>10.465</v>
      </c>
      <c r="BK68">
        <v>10.105</v>
      </c>
      <c r="BL68">
        <v>10.641999999999999</v>
      </c>
      <c r="BM68">
        <v>8.8160000000000007</v>
      </c>
      <c r="BN68">
        <v>9.9949999999999992</v>
      </c>
      <c r="BO68">
        <v>10.366</v>
      </c>
      <c r="BP68">
        <v>10.647</v>
      </c>
      <c r="BQ68">
        <v>7.2279999999999998</v>
      </c>
      <c r="BR68">
        <v>8.9529999999999994</v>
      </c>
      <c r="BS68">
        <v>9.6940000000000008</v>
      </c>
      <c r="BT68">
        <v>6.7880000000000003</v>
      </c>
      <c r="BU68">
        <v>5.4290000000000003</v>
      </c>
      <c r="BV68">
        <v>9.4600000000000009</v>
      </c>
      <c r="BW68">
        <v>10.968999999999999</v>
      </c>
      <c r="BX68">
        <v>3.5409999999999999</v>
      </c>
      <c r="BY68">
        <v>10.275</v>
      </c>
      <c r="BZ68">
        <v>9.6769999999999996</v>
      </c>
      <c r="CA68">
        <v>9.2430000000000003</v>
      </c>
      <c r="CB68">
        <v>8.8390000000000004</v>
      </c>
      <c r="CC68">
        <v>10.037000000000001</v>
      </c>
      <c r="CD68">
        <v>10.201000000000001</v>
      </c>
      <c r="CE68">
        <v>8.1880000000000006</v>
      </c>
      <c r="CF68">
        <v>10.157</v>
      </c>
      <c r="CG68">
        <v>9.6349999999999998</v>
      </c>
      <c r="CH68">
        <v>9.0280000000000005</v>
      </c>
      <c r="CI68">
        <v>7.3520000000000003</v>
      </c>
      <c r="CJ68">
        <v>10.135</v>
      </c>
      <c r="CK68">
        <v>9.98</v>
      </c>
      <c r="CL68">
        <v>10.78</v>
      </c>
      <c r="CM68">
        <v>10.51</v>
      </c>
      <c r="CN68">
        <v>10.122</v>
      </c>
      <c r="CO68">
        <v>10.252000000000001</v>
      </c>
      <c r="CP68">
        <v>5.6619999999999999</v>
      </c>
      <c r="CQ68">
        <v>7.4080000000000004</v>
      </c>
      <c r="CR68">
        <v>10.823</v>
      </c>
      <c r="CS68">
        <v>9.6379999999999999</v>
      </c>
      <c r="CT68">
        <v>6.7480000000000002</v>
      </c>
      <c r="CU68">
        <v>10.589</v>
      </c>
      <c r="CV68">
        <v>4.5869999999999997</v>
      </c>
      <c r="CW68">
        <v>9.5359999999999996</v>
      </c>
      <c r="CX68">
        <v>10.53</v>
      </c>
      <c r="CY68">
        <v>9.4600000000000009</v>
      </c>
      <c r="CZ68">
        <v>10.667</v>
      </c>
      <c r="DA68">
        <v>9.4550000000000001</v>
      </c>
      <c r="DB68">
        <v>10.430999999999999</v>
      </c>
      <c r="DC68">
        <v>9.7460000000000004</v>
      </c>
      <c r="DD68">
        <v>9.8070000000000004</v>
      </c>
      <c r="DE68">
        <v>4.6340000000000003</v>
      </c>
      <c r="DF68">
        <v>9.7949999999999999</v>
      </c>
      <c r="DG68">
        <v>10.500999999999999</v>
      </c>
      <c r="DH68">
        <v>10.292</v>
      </c>
      <c r="DI68">
        <v>8.8469999999999995</v>
      </c>
      <c r="DJ68">
        <v>7.78</v>
      </c>
      <c r="DK68">
        <v>10.718</v>
      </c>
      <c r="DL68">
        <v>9.6929999999999996</v>
      </c>
      <c r="DM68">
        <v>10.081</v>
      </c>
      <c r="DN68">
        <v>10.384</v>
      </c>
      <c r="DO68">
        <v>10.616</v>
      </c>
      <c r="DP68">
        <v>10.159000000000001</v>
      </c>
      <c r="DQ68">
        <v>4.6849999999999996</v>
      </c>
      <c r="DR68">
        <v>11.143000000000001</v>
      </c>
      <c r="DS68">
        <v>10.509</v>
      </c>
      <c r="DT68">
        <v>10.618</v>
      </c>
      <c r="DU68">
        <v>11.018000000000001</v>
      </c>
      <c r="DV68">
        <v>9.8369999999999997</v>
      </c>
      <c r="DW68">
        <v>9.907</v>
      </c>
      <c r="DX68">
        <v>8.5289999999999999</v>
      </c>
      <c r="DY68">
        <v>9.8469999999999995</v>
      </c>
      <c r="DZ68">
        <v>9.9060000000000006</v>
      </c>
      <c r="EA68">
        <v>10.456</v>
      </c>
      <c r="EB68">
        <v>10.271000000000001</v>
      </c>
      <c r="EC68">
        <v>9.8309999999999995</v>
      </c>
      <c r="ED68">
        <v>9.6750000000000007</v>
      </c>
      <c r="EE68">
        <v>10.442</v>
      </c>
      <c r="EF68">
        <v>9.7140000000000004</v>
      </c>
      <c r="EG68">
        <v>8.0540000000000003</v>
      </c>
      <c r="EH68">
        <v>11.343999999999999</v>
      </c>
      <c r="EI68">
        <v>9.19</v>
      </c>
      <c r="EJ68">
        <v>6.77</v>
      </c>
      <c r="EK68">
        <v>11.156000000000001</v>
      </c>
      <c r="EL68">
        <v>6.83</v>
      </c>
      <c r="EM68">
        <v>10.374000000000001</v>
      </c>
      <c r="EN68">
        <v>9.7509999999999994</v>
      </c>
      <c r="EO68">
        <v>11.361000000000001</v>
      </c>
      <c r="EP68">
        <v>7.4550000000000001</v>
      </c>
      <c r="EQ68">
        <v>5.5830000000000002</v>
      </c>
      <c r="ER68">
        <v>10.226000000000001</v>
      </c>
      <c r="ES68">
        <v>9.9009999999999998</v>
      </c>
      <c r="ET68">
        <v>9.7129999999999992</v>
      </c>
      <c r="EU68">
        <v>10.210000000000001</v>
      </c>
      <c r="EV68">
        <v>8.5510000000000002</v>
      </c>
      <c r="EW68">
        <v>10.170999999999999</v>
      </c>
      <c r="EX68">
        <v>10.036</v>
      </c>
      <c r="EY68">
        <v>8.9320000000000004</v>
      </c>
      <c r="EZ68">
        <v>10.118</v>
      </c>
      <c r="FA68">
        <v>10.321</v>
      </c>
      <c r="FB68">
        <v>10.387</v>
      </c>
      <c r="FC68">
        <v>10.545</v>
      </c>
      <c r="FD68">
        <v>10.448</v>
      </c>
      <c r="FE68">
        <v>9.407</v>
      </c>
      <c r="FF68">
        <v>9.6609999999999996</v>
      </c>
      <c r="FG68">
        <v>7.8319999999999999</v>
      </c>
      <c r="FH68">
        <v>7.758</v>
      </c>
      <c r="FI68">
        <v>10.311999999999999</v>
      </c>
      <c r="FJ68">
        <v>9.3469999999999995</v>
      </c>
      <c r="FK68">
        <v>6.1749999999999998</v>
      </c>
      <c r="FL68">
        <v>10.53</v>
      </c>
      <c r="FM68">
        <v>10.337</v>
      </c>
      <c r="FN68">
        <v>10.134</v>
      </c>
      <c r="FO68">
        <v>9.1020000000000003</v>
      </c>
      <c r="FP68">
        <v>9.0530000000000008</v>
      </c>
      <c r="FQ68">
        <v>8.3249999999999993</v>
      </c>
      <c r="FR68">
        <v>10.391</v>
      </c>
      <c r="FS68">
        <v>8.2330000000000005</v>
      </c>
      <c r="FT68">
        <v>10.316000000000001</v>
      </c>
      <c r="FU68">
        <v>9.9380000000000006</v>
      </c>
      <c r="FV68">
        <v>10.111000000000001</v>
      </c>
      <c r="FW68">
        <v>9.5440000000000005</v>
      </c>
      <c r="FX68">
        <v>6.0069999999999997</v>
      </c>
      <c r="FY68">
        <v>10.119999999999999</v>
      </c>
      <c r="FZ68">
        <v>6.9980000000000002</v>
      </c>
      <c r="GA68">
        <v>2.5219999999999998</v>
      </c>
      <c r="GB68">
        <v>7.39</v>
      </c>
      <c r="GC68">
        <v>10.545999999999999</v>
      </c>
      <c r="GD68">
        <v>8.2919999999999998</v>
      </c>
      <c r="GE68">
        <v>9.8940000000000001</v>
      </c>
      <c r="GF68">
        <v>10.592000000000001</v>
      </c>
      <c r="GG68">
        <v>9.218</v>
      </c>
      <c r="GH68">
        <v>10.484</v>
      </c>
      <c r="GI68">
        <v>9.7249999999999996</v>
      </c>
      <c r="GJ68">
        <v>10.164999999999999</v>
      </c>
      <c r="GK68">
        <v>9.9640000000000004</v>
      </c>
      <c r="GL68">
        <v>7.4359999999999999</v>
      </c>
      <c r="GM68">
        <v>9.5540000000000003</v>
      </c>
      <c r="GN68">
        <v>10.356999999999999</v>
      </c>
      <c r="GO68">
        <v>8.3710000000000004</v>
      </c>
      <c r="GP68">
        <v>9.6989999999999998</v>
      </c>
      <c r="GQ68">
        <v>9.4269999999999996</v>
      </c>
      <c r="GR68">
        <v>7.6059999999999999</v>
      </c>
      <c r="GS68">
        <v>10.688000000000001</v>
      </c>
      <c r="GT68">
        <v>10.739000000000001</v>
      </c>
      <c r="GU68">
        <v>5.64</v>
      </c>
      <c r="GV68">
        <v>10.242000000000001</v>
      </c>
      <c r="GW68">
        <v>11.08</v>
      </c>
      <c r="GX68">
        <v>10.035</v>
      </c>
      <c r="GY68">
        <v>10.563000000000001</v>
      </c>
      <c r="GZ68">
        <v>10.811999999999999</v>
      </c>
      <c r="HA68">
        <v>9.4120000000000008</v>
      </c>
      <c r="HB68">
        <v>3.7570000000000001</v>
      </c>
      <c r="HC68">
        <v>5.5570000000000004</v>
      </c>
      <c r="HD68">
        <v>10.585000000000001</v>
      </c>
      <c r="HE68">
        <v>10.513</v>
      </c>
      <c r="HF68">
        <v>6.31</v>
      </c>
      <c r="HG68">
        <v>10.782999999999999</v>
      </c>
      <c r="HH68">
        <v>7.8440000000000003</v>
      </c>
      <c r="HI68">
        <v>8.9779999999999998</v>
      </c>
      <c r="HJ68">
        <v>10.163</v>
      </c>
      <c r="HK68">
        <v>10.805999999999999</v>
      </c>
      <c r="HL68">
        <v>10.984999999999999</v>
      </c>
      <c r="HM68">
        <v>6.4249999999999998</v>
      </c>
      <c r="HN68">
        <v>9.3949999999999996</v>
      </c>
      <c r="HO68">
        <v>6.4109999999999996</v>
      </c>
      <c r="HP68">
        <v>9.9600000000000009</v>
      </c>
      <c r="HQ68">
        <v>9.7330000000000005</v>
      </c>
      <c r="HR68">
        <v>5.9980000000000002</v>
      </c>
      <c r="HS68">
        <v>5.7690000000000001</v>
      </c>
      <c r="HT68">
        <v>9.2650000000000006</v>
      </c>
      <c r="HU68">
        <v>9.2569999999999997</v>
      </c>
      <c r="HV68">
        <v>7.9909999999999997</v>
      </c>
      <c r="HW68">
        <v>10.23</v>
      </c>
      <c r="HX68">
        <v>10.448</v>
      </c>
      <c r="HY68">
        <v>10.507</v>
      </c>
      <c r="HZ68">
        <v>10.295999999999999</v>
      </c>
      <c r="IA68">
        <v>9.9740000000000002</v>
      </c>
      <c r="IB68">
        <v>9.5510000000000002</v>
      </c>
      <c r="IC68">
        <v>9.3070000000000004</v>
      </c>
      <c r="ID68">
        <v>7.8689999999999998</v>
      </c>
      <c r="IE68">
        <v>10.106</v>
      </c>
      <c r="IF68">
        <v>10.122999999999999</v>
      </c>
      <c r="IG68">
        <v>10.034000000000001</v>
      </c>
      <c r="IH68">
        <v>8.9179999999999993</v>
      </c>
      <c r="II68">
        <v>10.637</v>
      </c>
      <c r="IJ68">
        <v>9.3889999999999993</v>
      </c>
      <c r="IK68">
        <v>9.7330000000000005</v>
      </c>
      <c r="IL68">
        <v>10.638</v>
      </c>
      <c r="IM68">
        <v>9.8650000000000002</v>
      </c>
      <c r="IN68">
        <v>9.8059999999999992</v>
      </c>
      <c r="IO68">
        <v>10.028</v>
      </c>
      <c r="IP68">
        <v>10.492000000000001</v>
      </c>
      <c r="IQ68">
        <v>4.444</v>
      </c>
      <c r="IR68">
        <v>9.7590000000000003</v>
      </c>
      <c r="IS68">
        <v>10.324</v>
      </c>
      <c r="IT68">
        <v>10.131</v>
      </c>
      <c r="IU68">
        <v>9.7550000000000008</v>
      </c>
      <c r="IV68">
        <v>9.0459999999999994</v>
      </c>
      <c r="IW68">
        <v>7.8559999999999999</v>
      </c>
      <c r="IX68">
        <v>10.712</v>
      </c>
      <c r="IY68">
        <v>10.512</v>
      </c>
      <c r="IZ68">
        <v>10.215999999999999</v>
      </c>
      <c r="JA68">
        <v>9.9209999999999994</v>
      </c>
      <c r="JB68">
        <v>9.4979999999999993</v>
      </c>
      <c r="JC68">
        <v>10.013</v>
      </c>
      <c r="JD68">
        <v>9.8710000000000004</v>
      </c>
      <c r="JE68">
        <v>8.2170000000000005</v>
      </c>
      <c r="JF68">
        <v>9.9600000000000009</v>
      </c>
      <c r="JG68">
        <v>10.372999999999999</v>
      </c>
      <c r="JH68">
        <v>9.5229999999999997</v>
      </c>
      <c r="JI68">
        <v>5.9240000000000004</v>
      </c>
      <c r="JJ68">
        <v>10.087</v>
      </c>
      <c r="JK68">
        <v>7.1070000000000002</v>
      </c>
      <c r="JL68">
        <v>10.465</v>
      </c>
      <c r="JM68">
        <v>10.005000000000001</v>
      </c>
      <c r="JN68">
        <v>9.5670000000000002</v>
      </c>
      <c r="JO68">
        <v>9.8450000000000006</v>
      </c>
      <c r="JP68">
        <v>7.59</v>
      </c>
      <c r="JQ68">
        <v>9.9979999999999993</v>
      </c>
      <c r="JR68">
        <v>9.8010000000000002</v>
      </c>
      <c r="JS68">
        <v>9.984</v>
      </c>
      <c r="JT68">
        <v>10.568</v>
      </c>
      <c r="JU68">
        <v>9.8490000000000002</v>
      </c>
      <c r="JV68">
        <v>9.4619999999999997</v>
      </c>
      <c r="JW68">
        <v>9.9109999999999996</v>
      </c>
      <c r="JX68">
        <v>9.7520000000000007</v>
      </c>
      <c r="JY68">
        <v>7.282</v>
      </c>
      <c r="JZ68">
        <v>4.8920000000000003</v>
      </c>
      <c r="KA68">
        <v>8.9510000000000005</v>
      </c>
      <c r="KB68">
        <v>9.4429999999999996</v>
      </c>
      <c r="KC68">
        <v>10.055</v>
      </c>
      <c r="KD68">
        <v>9.6690000000000005</v>
      </c>
      <c r="KE68">
        <v>7.5060000000000002</v>
      </c>
      <c r="KF68">
        <v>7.0410000000000004</v>
      </c>
      <c r="KG68">
        <v>10.742000000000001</v>
      </c>
      <c r="KH68">
        <v>10.308999999999999</v>
      </c>
      <c r="KI68">
        <v>9.6989999999999998</v>
      </c>
      <c r="KJ68">
        <v>10.157999999999999</v>
      </c>
      <c r="KK68">
        <v>10.122999999999999</v>
      </c>
      <c r="KL68">
        <v>7.6619999999999999</v>
      </c>
      <c r="KM68">
        <v>6.351</v>
      </c>
      <c r="KN68">
        <v>10.019</v>
      </c>
      <c r="KO68">
        <v>8.9619999999999997</v>
      </c>
      <c r="KP68">
        <v>8.1199999999999992</v>
      </c>
      <c r="KQ68">
        <v>7.1459999999999999</v>
      </c>
      <c r="KR68">
        <v>7.1079999999999997</v>
      </c>
    </row>
    <row r="69" spans="1:304" x14ac:dyDescent="0.25">
      <c r="A69">
        <v>2019</v>
      </c>
      <c r="B69">
        <v>6</v>
      </c>
      <c r="C69">
        <v>8.532</v>
      </c>
      <c r="D69">
        <v>18.128</v>
      </c>
      <c r="E69">
        <v>16.527000000000001</v>
      </c>
      <c r="F69">
        <v>16.481999999999999</v>
      </c>
      <c r="G69">
        <v>17.387</v>
      </c>
      <c r="H69">
        <v>17.323</v>
      </c>
      <c r="I69">
        <v>11.287000000000001</v>
      </c>
      <c r="J69">
        <v>12.307</v>
      </c>
      <c r="K69">
        <v>15.638999999999999</v>
      </c>
      <c r="L69">
        <v>16.655000000000001</v>
      </c>
      <c r="M69">
        <v>16.692</v>
      </c>
      <c r="N69">
        <v>15.753</v>
      </c>
      <c r="O69">
        <v>13.901999999999999</v>
      </c>
      <c r="P69">
        <v>18.033000000000001</v>
      </c>
      <c r="Q69">
        <v>14.478999999999999</v>
      </c>
      <c r="R69">
        <v>16.574000000000002</v>
      </c>
      <c r="S69">
        <v>15.984</v>
      </c>
      <c r="T69">
        <v>18.050999999999998</v>
      </c>
      <c r="U69">
        <v>16.343</v>
      </c>
      <c r="V69">
        <v>16.436</v>
      </c>
      <c r="W69">
        <v>17.687999999999999</v>
      </c>
      <c r="X69">
        <v>17.45</v>
      </c>
      <c r="Y69">
        <v>17.699000000000002</v>
      </c>
      <c r="Z69">
        <v>13.445</v>
      </c>
      <c r="AA69">
        <v>18.623000000000001</v>
      </c>
      <c r="AB69">
        <v>17.613</v>
      </c>
      <c r="AC69">
        <v>15.208</v>
      </c>
      <c r="AD69">
        <v>15.446</v>
      </c>
      <c r="AE69">
        <v>18.13</v>
      </c>
      <c r="AF69">
        <v>16.422000000000001</v>
      </c>
      <c r="AG69">
        <v>15.302</v>
      </c>
      <c r="AH69">
        <v>13.31</v>
      </c>
      <c r="AI69">
        <v>15.19</v>
      </c>
      <c r="AJ69">
        <v>17.131</v>
      </c>
      <c r="AK69">
        <v>17.751000000000001</v>
      </c>
      <c r="AL69">
        <v>17.262</v>
      </c>
      <c r="AM69">
        <v>17.372</v>
      </c>
      <c r="AN69">
        <v>18.138000000000002</v>
      </c>
      <c r="AO69">
        <v>16.378</v>
      </c>
      <c r="AP69">
        <v>16.509</v>
      </c>
      <c r="AQ69">
        <v>17.041</v>
      </c>
      <c r="AR69">
        <v>16.283000000000001</v>
      </c>
      <c r="AS69">
        <v>16.695</v>
      </c>
      <c r="AT69">
        <v>16.530999999999999</v>
      </c>
      <c r="AU69">
        <v>15.749000000000001</v>
      </c>
      <c r="AV69">
        <v>16.885000000000002</v>
      </c>
      <c r="AW69">
        <v>17.423999999999999</v>
      </c>
      <c r="AX69">
        <v>17.381</v>
      </c>
      <c r="AY69">
        <v>16.486999999999998</v>
      </c>
      <c r="AZ69">
        <v>13.305</v>
      </c>
      <c r="BA69">
        <v>15.590999999999999</v>
      </c>
      <c r="BB69">
        <v>12.333</v>
      </c>
      <c r="BC69">
        <v>15.757</v>
      </c>
      <c r="BD69">
        <v>16.922000000000001</v>
      </c>
      <c r="BE69">
        <v>17.597000000000001</v>
      </c>
      <c r="BF69">
        <v>16.294</v>
      </c>
      <c r="BG69">
        <v>12.731</v>
      </c>
      <c r="BH69">
        <v>11.592000000000001</v>
      </c>
      <c r="BI69">
        <v>16.556999999999999</v>
      </c>
      <c r="BJ69">
        <v>16.920999999999999</v>
      </c>
      <c r="BK69">
        <v>16.626999999999999</v>
      </c>
      <c r="BL69">
        <v>17.928999999999998</v>
      </c>
      <c r="BM69">
        <v>15.686999999999999</v>
      </c>
      <c r="BN69">
        <v>16.710999999999999</v>
      </c>
      <c r="BO69">
        <v>17.077000000000002</v>
      </c>
      <c r="BP69">
        <v>17.591000000000001</v>
      </c>
      <c r="BQ69">
        <v>14.012</v>
      </c>
      <c r="BR69">
        <v>14.845000000000001</v>
      </c>
      <c r="BS69">
        <v>16.898</v>
      </c>
      <c r="BT69">
        <v>13.016</v>
      </c>
      <c r="BU69">
        <v>12.491</v>
      </c>
      <c r="BV69">
        <v>16.581</v>
      </c>
      <c r="BW69">
        <v>18.010999999999999</v>
      </c>
      <c r="BX69">
        <v>9.4450000000000003</v>
      </c>
      <c r="BY69">
        <v>17.689</v>
      </c>
      <c r="BZ69">
        <v>16.454999999999998</v>
      </c>
      <c r="CA69">
        <v>15.728999999999999</v>
      </c>
      <c r="CB69">
        <v>16.213999999999999</v>
      </c>
      <c r="CC69">
        <v>16.638999999999999</v>
      </c>
      <c r="CD69">
        <v>17.62</v>
      </c>
      <c r="CE69">
        <v>15.288</v>
      </c>
      <c r="CF69">
        <v>18.084</v>
      </c>
      <c r="CG69">
        <v>16.861999999999998</v>
      </c>
      <c r="CH69">
        <v>15.867000000000001</v>
      </c>
      <c r="CI69">
        <v>14.006</v>
      </c>
      <c r="CJ69">
        <v>16.829000000000001</v>
      </c>
      <c r="CK69">
        <v>17.157</v>
      </c>
      <c r="CL69">
        <v>17.547000000000001</v>
      </c>
      <c r="CM69">
        <v>18.559999999999999</v>
      </c>
      <c r="CN69">
        <v>17.811</v>
      </c>
      <c r="CO69">
        <v>17.782</v>
      </c>
      <c r="CP69">
        <v>12.906000000000001</v>
      </c>
      <c r="CQ69">
        <v>14.308</v>
      </c>
      <c r="CR69">
        <v>18.303000000000001</v>
      </c>
      <c r="CS69">
        <v>17.260000000000002</v>
      </c>
      <c r="CT69">
        <v>13.34</v>
      </c>
      <c r="CU69">
        <v>18.059000000000001</v>
      </c>
      <c r="CV69">
        <v>10.566000000000001</v>
      </c>
      <c r="CW69">
        <v>16.033999999999999</v>
      </c>
      <c r="CX69">
        <v>17.38</v>
      </c>
      <c r="CY69">
        <v>16.087</v>
      </c>
      <c r="CZ69">
        <v>17.725000000000001</v>
      </c>
      <c r="DA69">
        <v>15.577</v>
      </c>
      <c r="DB69">
        <v>17.364000000000001</v>
      </c>
      <c r="DC69">
        <v>16.306999999999999</v>
      </c>
      <c r="DD69">
        <v>16.994</v>
      </c>
      <c r="DE69">
        <v>10.702999999999999</v>
      </c>
      <c r="DF69">
        <v>17.68</v>
      </c>
      <c r="DG69">
        <v>17.722000000000001</v>
      </c>
      <c r="DH69">
        <v>17.577999999999999</v>
      </c>
      <c r="DI69">
        <v>15.818</v>
      </c>
      <c r="DJ69">
        <v>14.834</v>
      </c>
      <c r="DK69">
        <v>17.917000000000002</v>
      </c>
      <c r="DL69">
        <v>15.875999999999999</v>
      </c>
      <c r="DM69">
        <v>16.702999999999999</v>
      </c>
      <c r="DN69">
        <v>16.991</v>
      </c>
      <c r="DO69">
        <v>17.311</v>
      </c>
      <c r="DP69">
        <v>16.561</v>
      </c>
      <c r="DQ69">
        <v>10.678000000000001</v>
      </c>
      <c r="DR69">
        <v>18.324999999999999</v>
      </c>
      <c r="DS69">
        <v>17.213999999999999</v>
      </c>
      <c r="DT69">
        <v>17.742000000000001</v>
      </c>
      <c r="DU69">
        <v>17.960999999999999</v>
      </c>
      <c r="DV69">
        <v>16.619</v>
      </c>
      <c r="DW69">
        <v>16.553000000000001</v>
      </c>
      <c r="DX69">
        <v>15.677</v>
      </c>
      <c r="DY69">
        <v>16.535</v>
      </c>
      <c r="DZ69">
        <v>17.555</v>
      </c>
      <c r="EA69">
        <v>17.972999999999999</v>
      </c>
      <c r="EB69">
        <v>16.539000000000001</v>
      </c>
      <c r="EC69">
        <v>16.242999999999999</v>
      </c>
      <c r="ED69">
        <v>16.417000000000002</v>
      </c>
      <c r="EE69">
        <v>17.933</v>
      </c>
      <c r="EF69">
        <v>17.151</v>
      </c>
      <c r="EG69">
        <v>15.292999999999999</v>
      </c>
      <c r="EH69">
        <v>18.585000000000001</v>
      </c>
      <c r="EI69">
        <v>16.305</v>
      </c>
      <c r="EJ69">
        <v>13.763</v>
      </c>
      <c r="EK69">
        <v>18.451000000000001</v>
      </c>
      <c r="EL69">
        <v>14.146000000000001</v>
      </c>
      <c r="EM69">
        <v>15.747</v>
      </c>
      <c r="EN69">
        <v>17.428000000000001</v>
      </c>
      <c r="EO69">
        <v>18.640999999999998</v>
      </c>
      <c r="EP69">
        <v>14.413</v>
      </c>
      <c r="EQ69">
        <v>12.741</v>
      </c>
      <c r="ER69">
        <v>16.59</v>
      </c>
      <c r="ES69">
        <v>17.306999999999999</v>
      </c>
      <c r="ET69">
        <v>15.372</v>
      </c>
      <c r="EU69">
        <v>17.513000000000002</v>
      </c>
      <c r="EV69">
        <v>15.579000000000001</v>
      </c>
      <c r="EW69">
        <v>17.047000000000001</v>
      </c>
      <c r="EX69">
        <v>15.871</v>
      </c>
      <c r="EY69">
        <v>15.66</v>
      </c>
      <c r="EZ69">
        <v>17.45</v>
      </c>
      <c r="FA69">
        <v>16.920000000000002</v>
      </c>
      <c r="FB69">
        <v>18.355</v>
      </c>
      <c r="FC69">
        <v>17.704000000000001</v>
      </c>
      <c r="FD69">
        <v>17.911000000000001</v>
      </c>
      <c r="FE69">
        <v>16.132999999999999</v>
      </c>
      <c r="FF69">
        <v>16.545999999999999</v>
      </c>
      <c r="FG69">
        <v>14.898999999999999</v>
      </c>
      <c r="FH69">
        <v>13.856999999999999</v>
      </c>
      <c r="FI69">
        <v>17.864000000000001</v>
      </c>
      <c r="FJ69">
        <v>16.989999999999998</v>
      </c>
      <c r="FK69">
        <v>13.446</v>
      </c>
      <c r="FL69">
        <v>18.18</v>
      </c>
      <c r="FM69">
        <v>17.783999999999999</v>
      </c>
      <c r="FN69">
        <v>17.454000000000001</v>
      </c>
      <c r="FO69">
        <v>15.847</v>
      </c>
      <c r="FP69">
        <v>16.815999999999999</v>
      </c>
      <c r="FQ69">
        <v>15.952</v>
      </c>
      <c r="FR69">
        <v>17.640999999999998</v>
      </c>
      <c r="FS69">
        <v>15.259</v>
      </c>
      <c r="FT69">
        <v>16.094000000000001</v>
      </c>
      <c r="FU69">
        <v>17.210999999999999</v>
      </c>
      <c r="FV69">
        <v>18.045000000000002</v>
      </c>
      <c r="FW69">
        <v>16.593</v>
      </c>
      <c r="FX69">
        <v>12.587999999999999</v>
      </c>
      <c r="FY69">
        <v>16.734000000000002</v>
      </c>
      <c r="FZ69">
        <v>14.19</v>
      </c>
      <c r="GA69">
        <v>8.2409999999999997</v>
      </c>
      <c r="GB69">
        <v>14.246</v>
      </c>
      <c r="GC69">
        <v>17.466999999999999</v>
      </c>
      <c r="GD69">
        <v>15.366</v>
      </c>
      <c r="GE69">
        <v>16.812999999999999</v>
      </c>
      <c r="GF69">
        <v>18.071999999999999</v>
      </c>
      <c r="GG69">
        <v>16.864000000000001</v>
      </c>
      <c r="GH69">
        <v>17.795999999999999</v>
      </c>
      <c r="GI69">
        <v>16.637</v>
      </c>
      <c r="GJ69">
        <v>17.731999999999999</v>
      </c>
      <c r="GK69">
        <v>16.585999999999999</v>
      </c>
      <c r="GL69">
        <v>14.791</v>
      </c>
      <c r="GM69">
        <v>16.341000000000001</v>
      </c>
      <c r="GN69">
        <v>17.651</v>
      </c>
      <c r="GO69">
        <v>16.251999999999999</v>
      </c>
      <c r="GP69">
        <v>16.63</v>
      </c>
      <c r="GQ69">
        <v>16.468</v>
      </c>
      <c r="GR69">
        <v>14.481999999999999</v>
      </c>
      <c r="GS69">
        <v>18.181999999999999</v>
      </c>
      <c r="GT69">
        <v>18.265999999999998</v>
      </c>
      <c r="GU69">
        <v>12.791</v>
      </c>
      <c r="GV69">
        <v>15.273999999999999</v>
      </c>
      <c r="GW69">
        <v>18.408000000000001</v>
      </c>
      <c r="GX69">
        <v>16.11</v>
      </c>
      <c r="GY69">
        <v>18.079000000000001</v>
      </c>
      <c r="GZ69">
        <v>18.331</v>
      </c>
      <c r="HA69">
        <v>15.962</v>
      </c>
      <c r="HB69">
        <v>10.43</v>
      </c>
      <c r="HC69">
        <v>12.723000000000001</v>
      </c>
      <c r="HD69">
        <v>17.667999999999999</v>
      </c>
      <c r="HE69">
        <v>15.43</v>
      </c>
      <c r="HF69">
        <v>12.938000000000001</v>
      </c>
      <c r="HG69">
        <v>18.3</v>
      </c>
      <c r="HH69">
        <v>14.829000000000001</v>
      </c>
      <c r="HI69">
        <v>15.44</v>
      </c>
      <c r="HJ69">
        <v>16.937999999999999</v>
      </c>
      <c r="HK69">
        <v>18.018000000000001</v>
      </c>
      <c r="HL69">
        <v>18.37</v>
      </c>
      <c r="HM69">
        <v>13.65</v>
      </c>
      <c r="HN69">
        <v>16.808</v>
      </c>
      <c r="HO69">
        <v>13.154999999999999</v>
      </c>
      <c r="HP69">
        <v>15.978999999999999</v>
      </c>
      <c r="HQ69">
        <v>15.786</v>
      </c>
      <c r="HR69">
        <v>12.944000000000001</v>
      </c>
      <c r="HS69">
        <v>12.75</v>
      </c>
      <c r="HT69">
        <v>16.484000000000002</v>
      </c>
      <c r="HU69">
        <v>16.992000000000001</v>
      </c>
      <c r="HV69">
        <v>15.253</v>
      </c>
      <c r="HW69">
        <v>18.079000000000001</v>
      </c>
      <c r="HX69">
        <v>17.927</v>
      </c>
      <c r="HY69">
        <v>17.288</v>
      </c>
      <c r="HZ69">
        <v>15.561999999999999</v>
      </c>
      <c r="IA69">
        <v>16.956</v>
      </c>
      <c r="IB69">
        <v>16.788</v>
      </c>
      <c r="IC69">
        <v>17.009</v>
      </c>
      <c r="ID69">
        <v>14.779</v>
      </c>
      <c r="IE69">
        <v>17.571999999999999</v>
      </c>
      <c r="IF69">
        <v>15.585000000000001</v>
      </c>
      <c r="IG69">
        <v>17.459</v>
      </c>
      <c r="IH69">
        <v>15.491</v>
      </c>
      <c r="II69">
        <v>17.853000000000002</v>
      </c>
      <c r="IJ69">
        <v>16.803000000000001</v>
      </c>
      <c r="IK69">
        <v>17.555</v>
      </c>
      <c r="IL69">
        <v>17.334</v>
      </c>
      <c r="IM69">
        <v>16.213999999999999</v>
      </c>
      <c r="IN69">
        <v>16.937000000000001</v>
      </c>
      <c r="IO69">
        <v>17.298999999999999</v>
      </c>
      <c r="IP69">
        <v>18.015999999999998</v>
      </c>
      <c r="IQ69">
        <v>11.247999999999999</v>
      </c>
      <c r="IR69">
        <v>17.131</v>
      </c>
      <c r="IS69">
        <v>17.007999999999999</v>
      </c>
      <c r="IT69">
        <v>16.013999999999999</v>
      </c>
      <c r="IU69">
        <v>16.809999999999999</v>
      </c>
      <c r="IV69">
        <v>16.288</v>
      </c>
      <c r="IW69">
        <v>14.03</v>
      </c>
      <c r="IX69">
        <v>18.058</v>
      </c>
      <c r="IY69">
        <v>17.927</v>
      </c>
      <c r="IZ69">
        <v>17.507000000000001</v>
      </c>
      <c r="JA69">
        <v>16.71</v>
      </c>
      <c r="JB69">
        <v>16.998999999999999</v>
      </c>
      <c r="JC69">
        <v>18.068000000000001</v>
      </c>
      <c r="JD69">
        <v>17.335999999999999</v>
      </c>
      <c r="JE69">
        <v>15.303000000000001</v>
      </c>
      <c r="JF69">
        <v>16.346</v>
      </c>
      <c r="JG69">
        <v>16.962</v>
      </c>
      <c r="JH69">
        <v>17.318000000000001</v>
      </c>
      <c r="JI69">
        <v>13.109</v>
      </c>
      <c r="JJ69">
        <v>17.885999999999999</v>
      </c>
      <c r="JK69">
        <v>14.028</v>
      </c>
      <c r="JL69">
        <v>17.298999999999999</v>
      </c>
      <c r="JM69">
        <v>17.489999999999998</v>
      </c>
      <c r="JN69">
        <v>16.361999999999998</v>
      </c>
      <c r="JO69">
        <v>16.052</v>
      </c>
      <c r="JP69">
        <v>14.286</v>
      </c>
      <c r="JQ69">
        <v>17.364999999999998</v>
      </c>
      <c r="JR69">
        <v>17.236000000000001</v>
      </c>
      <c r="JS69">
        <v>17.481999999999999</v>
      </c>
      <c r="JT69">
        <v>17.288</v>
      </c>
      <c r="JU69">
        <v>17.561</v>
      </c>
      <c r="JV69">
        <v>17.338999999999999</v>
      </c>
      <c r="JW69">
        <v>16.782</v>
      </c>
      <c r="JX69">
        <v>15.698</v>
      </c>
      <c r="JY69">
        <v>14.282</v>
      </c>
      <c r="JZ69">
        <v>11.365</v>
      </c>
      <c r="KA69">
        <v>15.032999999999999</v>
      </c>
      <c r="KB69">
        <v>17.462</v>
      </c>
      <c r="KC69">
        <v>17.946000000000002</v>
      </c>
      <c r="KD69">
        <v>17.14</v>
      </c>
      <c r="KE69">
        <v>14.438000000000001</v>
      </c>
      <c r="KF69">
        <v>14.276</v>
      </c>
      <c r="KG69">
        <v>17.838000000000001</v>
      </c>
      <c r="KH69">
        <v>16.052</v>
      </c>
      <c r="KI69">
        <v>16.800999999999998</v>
      </c>
      <c r="KJ69">
        <v>16.704999999999998</v>
      </c>
      <c r="KK69">
        <v>17.393999999999998</v>
      </c>
      <c r="KL69">
        <v>14.117000000000001</v>
      </c>
      <c r="KM69">
        <v>12.952</v>
      </c>
      <c r="KN69">
        <v>17.588999999999999</v>
      </c>
      <c r="KO69">
        <v>16.873999999999999</v>
      </c>
      <c r="KP69">
        <v>14.615</v>
      </c>
      <c r="KQ69">
        <v>13.823</v>
      </c>
      <c r="KR69">
        <v>13.736000000000001</v>
      </c>
    </row>
    <row r="70" spans="1:304" x14ac:dyDescent="0.25">
      <c r="A70">
        <v>2019</v>
      </c>
      <c r="B70">
        <v>7</v>
      </c>
      <c r="C70">
        <v>12.266999999999999</v>
      </c>
      <c r="D70">
        <v>17.329000000000001</v>
      </c>
      <c r="E70">
        <v>17.475999999999999</v>
      </c>
      <c r="F70">
        <v>17.09</v>
      </c>
      <c r="G70">
        <v>16.282</v>
      </c>
      <c r="H70">
        <v>17.123000000000001</v>
      </c>
      <c r="I70">
        <v>14.241</v>
      </c>
      <c r="J70">
        <v>14.217000000000001</v>
      </c>
      <c r="K70">
        <v>16.888000000000002</v>
      </c>
      <c r="L70">
        <v>16.658000000000001</v>
      </c>
      <c r="M70">
        <v>16.152999999999999</v>
      </c>
      <c r="N70">
        <v>17.221</v>
      </c>
      <c r="O70">
        <v>15.003</v>
      </c>
      <c r="P70">
        <v>17.756</v>
      </c>
      <c r="Q70">
        <v>15.46</v>
      </c>
      <c r="R70">
        <v>16.823</v>
      </c>
      <c r="S70">
        <v>15.662000000000001</v>
      </c>
      <c r="T70">
        <v>17.242999999999999</v>
      </c>
      <c r="U70">
        <v>16.138999999999999</v>
      </c>
      <c r="V70">
        <v>16.364000000000001</v>
      </c>
      <c r="W70">
        <v>16.754000000000001</v>
      </c>
      <c r="X70">
        <v>16.594999999999999</v>
      </c>
      <c r="Y70">
        <v>17.154</v>
      </c>
      <c r="Z70">
        <v>14.553000000000001</v>
      </c>
      <c r="AA70">
        <v>18.350000000000001</v>
      </c>
      <c r="AB70">
        <v>17.401</v>
      </c>
      <c r="AC70">
        <v>16.513000000000002</v>
      </c>
      <c r="AD70">
        <v>17.015000000000001</v>
      </c>
      <c r="AE70">
        <v>17.175000000000001</v>
      </c>
      <c r="AF70">
        <v>16.641999999999999</v>
      </c>
      <c r="AG70">
        <v>15.534000000000001</v>
      </c>
      <c r="AH70">
        <v>15.226000000000001</v>
      </c>
      <c r="AI70">
        <v>15.21</v>
      </c>
      <c r="AJ70">
        <v>15.843</v>
      </c>
      <c r="AK70">
        <v>16.463999999999999</v>
      </c>
      <c r="AL70">
        <v>16.404</v>
      </c>
      <c r="AM70">
        <v>16.832999999999998</v>
      </c>
      <c r="AN70">
        <v>17.716000000000001</v>
      </c>
      <c r="AO70">
        <v>17.199000000000002</v>
      </c>
      <c r="AP70">
        <v>16.271000000000001</v>
      </c>
      <c r="AQ70">
        <v>17.260000000000002</v>
      </c>
      <c r="AR70">
        <v>16.298999999999999</v>
      </c>
      <c r="AS70">
        <v>17.327999999999999</v>
      </c>
      <c r="AT70">
        <v>16.335999999999999</v>
      </c>
      <c r="AU70">
        <v>16.225000000000001</v>
      </c>
      <c r="AV70">
        <v>15.891999999999999</v>
      </c>
      <c r="AW70">
        <v>16.646999999999998</v>
      </c>
      <c r="AX70">
        <v>16.814</v>
      </c>
      <c r="AY70">
        <v>17.245000000000001</v>
      </c>
      <c r="AZ70">
        <v>14.507</v>
      </c>
      <c r="BA70">
        <v>17.061</v>
      </c>
      <c r="BB70">
        <v>14.584</v>
      </c>
      <c r="BC70">
        <v>15.721</v>
      </c>
      <c r="BD70">
        <v>16.436</v>
      </c>
      <c r="BE70">
        <v>16.687000000000001</v>
      </c>
      <c r="BF70">
        <v>17.303000000000001</v>
      </c>
      <c r="BG70">
        <v>14.497</v>
      </c>
      <c r="BH70">
        <v>13.65</v>
      </c>
      <c r="BI70">
        <v>15.952999999999999</v>
      </c>
      <c r="BJ70">
        <v>17.7</v>
      </c>
      <c r="BK70">
        <v>17.137</v>
      </c>
      <c r="BL70">
        <v>17.042000000000002</v>
      </c>
      <c r="BM70">
        <v>15.965999999999999</v>
      </c>
      <c r="BN70">
        <v>16.713999999999999</v>
      </c>
      <c r="BO70">
        <v>16.638000000000002</v>
      </c>
      <c r="BP70">
        <v>17.422000000000001</v>
      </c>
      <c r="BQ70">
        <v>15.02</v>
      </c>
      <c r="BR70">
        <v>16.663</v>
      </c>
      <c r="BS70">
        <v>16.364000000000001</v>
      </c>
      <c r="BT70">
        <v>14.938000000000001</v>
      </c>
      <c r="BU70">
        <v>13.829000000000001</v>
      </c>
      <c r="BV70">
        <v>16.044</v>
      </c>
      <c r="BW70">
        <v>17.844000000000001</v>
      </c>
      <c r="BX70">
        <v>12.845000000000001</v>
      </c>
      <c r="BY70">
        <v>16.561</v>
      </c>
      <c r="BZ70">
        <v>16.702000000000002</v>
      </c>
      <c r="CA70">
        <v>16.356999999999999</v>
      </c>
      <c r="CB70">
        <v>15.631</v>
      </c>
      <c r="CC70">
        <v>16.983000000000001</v>
      </c>
      <c r="CD70">
        <v>16.8</v>
      </c>
      <c r="CE70">
        <v>15.657999999999999</v>
      </c>
      <c r="CF70">
        <v>16.213999999999999</v>
      </c>
      <c r="CG70">
        <v>16.27</v>
      </c>
      <c r="CH70">
        <v>16.082000000000001</v>
      </c>
      <c r="CI70">
        <v>15.161</v>
      </c>
      <c r="CJ70">
        <v>17.488</v>
      </c>
      <c r="CK70">
        <v>16.434999999999999</v>
      </c>
      <c r="CL70">
        <v>17.626000000000001</v>
      </c>
      <c r="CM70">
        <v>16.832999999999998</v>
      </c>
      <c r="CN70">
        <v>17.088000000000001</v>
      </c>
      <c r="CO70">
        <v>17.122</v>
      </c>
      <c r="CP70">
        <v>15.202</v>
      </c>
      <c r="CQ70">
        <v>15.749000000000001</v>
      </c>
      <c r="CR70">
        <v>17.308</v>
      </c>
      <c r="CS70">
        <v>16.559999999999999</v>
      </c>
      <c r="CT70">
        <v>15.255000000000001</v>
      </c>
      <c r="CU70">
        <v>17.09</v>
      </c>
      <c r="CV70">
        <v>13.167</v>
      </c>
      <c r="CW70">
        <v>16.741</v>
      </c>
      <c r="CX70">
        <v>16.89</v>
      </c>
      <c r="CY70">
        <v>16.277999999999999</v>
      </c>
      <c r="CZ70">
        <v>17.13</v>
      </c>
      <c r="DA70">
        <v>16.940000000000001</v>
      </c>
      <c r="DB70">
        <v>16.870999999999999</v>
      </c>
      <c r="DC70">
        <v>17.184999999999999</v>
      </c>
      <c r="DD70">
        <v>17.04</v>
      </c>
      <c r="DE70">
        <v>13.435</v>
      </c>
      <c r="DF70">
        <v>16.3</v>
      </c>
      <c r="DG70">
        <v>17.231000000000002</v>
      </c>
      <c r="DH70">
        <v>16.425999999999998</v>
      </c>
      <c r="DI70">
        <v>15.638999999999999</v>
      </c>
      <c r="DJ70">
        <v>15.44</v>
      </c>
      <c r="DK70">
        <v>17.257000000000001</v>
      </c>
      <c r="DL70">
        <v>16.82</v>
      </c>
      <c r="DM70">
        <v>16.751999999999999</v>
      </c>
      <c r="DN70">
        <v>17.573</v>
      </c>
      <c r="DO70">
        <v>16.974</v>
      </c>
      <c r="DP70">
        <v>17.509</v>
      </c>
      <c r="DQ70">
        <v>13.744999999999999</v>
      </c>
      <c r="DR70">
        <v>18.045000000000002</v>
      </c>
      <c r="DS70">
        <v>16.847000000000001</v>
      </c>
      <c r="DT70">
        <v>17.385999999999999</v>
      </c>
      <c r="DU70">
        <v>17.812000000000001</v>
      </c>
      <c r="DV70">
        <v>16.835000000000001</v>
      </c>
      <c r="DW70">
        <v>16.702000000000002</v>
      </c>
      <c r="DX70">
        <v>15.782999999999999</v>
      </c>
      <c r="DY70">
        <v>17.170999999999999</v>
      </c>
      <c r="DZ70">
        <v>16.303999999999998</v>
      </c>
      <c r="EA70">
        <v>17.132999999999999</v>
      </c>
      <c r="EB70">
        <v>17.460999999999999</v>
      </c>
      <c r="EC70">
        <v>17.417000000000002</v>
      </c>
      <c r="ED70">
        <v>16.442</v>
      </c>
      <c r="EE70">
        <v>17.106999999999999</v>
      </c>
      <c r="EF70">
        <v>16.388999999999999</v>
      </c>
      <c r="EG70">
        <v>15.534000000000001</v>
      </c>
      <c r="EH70">
        <v>18.312999999999999</v>
      </c>
      <c r="EI70">
        <v>16.048999999999999</v>
      </c>
      <c r="EJ70">
        <v>15.567</v>
      </c>
      <c r="EK70">
        <v>18.143000000000001</v>
      </c>
      <c r="EL70">
        <v>15.343999999999999</v>
      </c>
      <c r="EM70">
        <v>17.210999999999999</v>
      </c>
      <c r="EN70">
        <v>16.335999999999999</v>
      </c>
      <c r="EO70">
        <v>18.355</v>
      </c>
      <c r="EP70">
        <v>15.089</v>
      </c>
      <c r="EQ70">
        <v>14.406000000000001</v>
      </c>
      <c r="ER70">
        <v>17.266999999999999</v>
      </c>
      <c r="ES70">
        <v>16.459</v>
      </c>
      <c r="ET70">
        <v>17.038</v>
      </c>
      <c r="EU70">
        <v>16.780999999999999</v>
      </c>
      <c r="EV70">
        <v>16.103999999999999</v>
      </c>
      <c r="EW70">
        <v>16.905000000000001</v>
      </c>
      <c r="EX70">
        <v>17.355</v>
      </c>
      <c r="EY70">
        <v>16.216000000000001</v>
      </c>
      <c r="EZ70">
        <v>16.372</v>
      </c>
      <c r="FA70">
        <v>17.622</v>
      </c>
      <c r="FB70">
        <v>17.134</v>
      </c>
      <c r="FC70">
        <v>17.126999999999999</v>
      </c>
      <c r="FD70">
        <v>17.158000000000001</v>
      </c>
      <c r="FE70">
        <v>16.318000000000001</v>
      </c>
      <c r="FF70">
        <v>16.228000000000002</v>
      </c>
      <c r="FG70">
        <v>15.11</v>
      </c>
      <c r="FH70">
        <v>15.481999999999999</v>
      </c>
      <c r="FI70">
        <v>17.027999999999999</v>
      </c>
      <c r="FJ70">
        <v>16.18</v>
      </c>
      <c r="FK70">
        <v>14.673</v>
      </c>
      <c r="FL70">
        <v>16.719000000000001</v>
      </c>
      <c r="FM70">
        <v>16.808</v>
      </c>
      <c r="FN70">
        <v>16.942</v>
      </c>
      <c r="FO70">
        <v>16.085999999999999</v>
      </c>
      <c r="FP70">
        <v>15.696999999999999</v>
      </c>
      <c r="FQ70">
        <v>15.423</v>
      </c>
      <c r="FR70">
        <v>16.791</v>
      </c>
      <c r="FS70">
        <v>15.872999999999999</v>
      </c>
      <c r="FT70">
        <v>17.475999999999999</v>
      </c>
      <c r="FU70">
        <v>16.295000000000002</v>
      </c>
      <c r="FV70">
        <v>16.815999999999999</v>
      </c>
      <c r="FW70">
        <v>16.614999999999998</v>
      </c>
      <c r="FX70">
        <v>14.273</v>
      </c>
      <c r="FY70">
        <v>17.457000000000001</v>
      </c>
      <c r="FZ70">
        <v>15.429</v>
      </c>
      <c r="GA70">
        <v>12.43</v>
      </c>
      <c r="GB70">
        <v>15.016</v>
      </c>
      <c r="GC70">
        <v>16.896999999999998</v>
      </c>
      <c r="GD70">
        <v>15.574</v>
      </c>
      <c r="GE70">
        <v>15.999000000000001</v>
      </c>
      <c r="GF70">
        <v>17.099</v>
      </c>
      <c r="GG70">
        <v>16.096</v>
      </c>
      <c r="GH70">
        <v>16.696000000000002</v>
      </c>
      <c r="GI70">
        <v>16.939</v>
      </c>
      <c r="GJ70">
        <v>17.274000000000001</v>
      </c>
      <c r="GK70">
        <v>16.888999999999999</v>
      </c>
      <c r="GL70">
        <v>15.356999999999999</v>
      </c>
      <c r="GM70">
        <v>16.13</v>
      </c>
      <c r="GN70">
        <v>17.506</v>
      </c>
      <c r="GO70">
        <v>15.891999999999999</v>
      </c>
      <c r="GP70">
        <v>16.753</v>
      </c>
      <c r="GQ70">
        <v>16.192</v>
      </c>
      <c r="GR70">
        <v>15.164</v>
      </c>
      <c r="GS70">
        <v>17.12</v>
      </c>
      <c r="GT70">
        <v>17.334</v>
      </c>
      <c r="GU70">
        <v>14.92</v>
      </c>
      <c r="GV70">
        <v>16.88</v>
      </c>
      <c r="GW70">
        <v>18.122</v>
      </c>
      <c r="GX70">
        <v>17.366</v>
      </c>
      <c r="GY70">
        <v>17.196000000000002</v>
      </c>
      <c r="GZ70">
        <v>17.38</v>
      </c>
      <c r="HA70">
        <v>16.54</v>
      </c>
      <c r="HB70">
        <v>12.5</v>
      </c>
      <c r="HC70">
        <v>14.814</v>
      </c>
      <c r="HD70">
        <v>16.876000000000001</v>
      </c>
      <c r="HE70">
        <v>17.484999999999999</v>
      </c>
      <c r="HF70">
        <v>14.945</v>
      </c>
      <c r="HG70">
        <v>17.331</v>
      </c>
      <c r="HH70">
        <v>15.348000000000001</v>
      </c>
      <c r="HI70">
        <v>16.341999999999999</v>
      </c>
      <c r="HJ70">
        <v>16.431000000000001</v>
      </c>
      <c r="HK70">
        <v>17.713999999999999</v>
      </c>
      <c r="HL70">
        <v>18.108000000000001</v>
      </c>
      <c r="HM70">
        <v>14.535</v>
      </c>
      <c r="HN70">
        <v>16.366</v>
      </c>
      <c r="HO70">
        <v>14.757999999999999</v>
      </c>
      <c r="HP70">
        <v>17.222000000000001</v>
      </c>
      <c r="HQ70">
        <v>17.073</v>
      </c>
      <c r="HR70">
        <v>14.09</v>
      </c>
      <c r="HS70">
        <v>14.097</v>
      </c>
      <c r="HT70">
        <v>16.062000000000001</v>
      </c>
      <c r="HU70">
        <v>15.933</v>
      </c>
      <c r="HV70">
        <v>15.403</v>
      </c>
      <c r="HW70">
        <v>17.055</v>
      </c>
      <c r="HX70">
        <v>16.946000000000002</v>
      </c>
      <c r="HY70">
        <v>16.937000000000001</v>
      </c>
      <c r="HZ70">
        <v>17.225000000000001</v>
      </c>
      <c r="IA70">
        <v>16.952000000000002</v>
      </c>
      <c r="IB70">
        <v>16.550999999999998</v>
      </c>
      <c r="IC70">
        <v>16.113</v>
      </c>
      <c r="ID70">
        <v>15.315</v>
      </c>
      <c r="IE70">
        <v>16.556000000000001</v>
      </c>
      <c r="IF70">
        <v>17.006</v>
      </c>
      <c r="IG70">
        <v>17.103999999999999</v>
      </c>
      <c r="IH70">
        <v>16.474</v>
      </c>
      <c r="II70">
        <v>17.013000000000002</v>
      </c>
      <c r="IJ70">
        <v>16.184999999999999</v>
      </c>
      <c r="IK70">
        <v>16.425999999999998</v>
      </c>
      <c r="IL70">
        <v>17.564</v>
      </c>
      <c r="IM70">
        <v>17.469000000000001</v>
      </c>
      <c r="IN70">
        <v>16.54</v>
      </c>
      <c r="IO70">
        <v>16.824000000000002</v>
      </c>
      <c r="IP70">
        <v>16.998000000000001</v>
      </c>
      <c r="IQ70">
        <v>12.882999999999999</v>
      </c>
      <c r="IR70">
        <v>16.210999999999999</v>
      </c>
      <c r="IS70">
        <v>17.227</v>
      </c>
      <c r="IT70">
        <v>17.445</v>
      </c>
      <c r="IU70">
        <v>16.715</v>
      </c>
      <c r="IV70">
        <v>15.972</v>
      </c>
      <c r="IW70">
        <v>15.515000000000001</v>
      </c>
      <c r="IX70">
        <v>17.145</v>
      </c>
      <c r="IY70">
        <v>16.8</v>
      </c>
      <c r="IZ70">
        <v>16.428999999999998</v>
      </c>
      <c r="JA70">
        <v>16.850000000000001</v>
      </c>
      <c r="JB70">
        <v>16.273</v>
      </c>
      <c r="JC70">
        <v>16.959</v>
      </c>
      <c r="JD70">
        <v>16.213000000000001</v>
      </c>
      <c r="JE70">
        <v>15.486000000000001</v>
      </c>
      <c r="JF70">
        <v>16.968</v>
      </c>
      <c r="JG70">
        <v>17.372</v>
      </c>
      <c r="JH70">
        <v>15.866</v>
      </c>
      <c r="JI70">
        <v>14.868</v>
      </c>
      <c r="JJ70">
        <v>16.215</v>
      </c>
      <c r="JK70">
        <v>14.99</v>
      </c>
      <c r="JL70">
        <v>16.911999999999999</v>
      </c>
      <c r="JM70">
        <v>16.186</v>
      </c>
      <c r="JN70">
        <v>16.850000000000001</v>
      </c>
      <c r="JO70">
        <v>17.372</v>
      </c>
      <c r="JP70">
        <v>15.244999999999999</v>
      </c>
      <c r="JQ70">
        <v>16.893999999999998</v>
      </c>
      <c r="JR70">
        <v>16.547000000000001</v>
      </c>
      <c r="JS70">
        <v>16.863</v>
      </c>
      <c r="JT70">
        <v>16.701000000000001</v>
      </c>
      <c r="JU70">
        <v>16.391999999999999</v>
      </c>
      <c r="JV70">
        <v>16.033999999999999</v>
      </c>
      <c r="JW70">
        <v>16.887</v>
      </c>
      <c r="JX70">
        <v>17.155999999999999</v>
      </c>
      <c r="JY70">
        <v>15.044</v>
      </c>
      <c r="JZ70">
        <v>13.467000000000001</v>
      </c>
      <c r="KA70">
        <v>16.538</v>
      </c>
      <c r="KB70">
        <v>15.79</v>
      </c>
      <c r="KC70">
        <v>16.536999999999999</v>
      </c>
      <c r="KD70">
        <v>16.164000000000001</v>
      </c>
      <c r="KE70">
        <v>15.215</v>
      </c>
      <c r="KF70">
        <v>15.206</v>
      </c>
      <c r="KG70">
        <v>17.628</v>
      </c>
      <c r="KH70">
        <v>17.206</v>
      </c>
      <c r="KI70">
        <v>16.632999999999999</v>
      </c>
      <c r="KJ70">
        <v>16.849</v>
      </c>
      <c r="KK70">
        <v>16.786999999999999</v>
      </c>
      <c r="KL70">
        <v>15.316000000000001</v>
      </c>
      <c r="KM70">
        <v>14.733000000000001</v>
      </c>
      <c r="KN70">
        <v>16.693999999999999</v>
      </c>
      <c r="KO70">
        <v>15.824</v>
      </c>
      <c r="KP70">
        <v>15.907999999999999</v>
      </c>
      <c r="KQ70">
        <v>15.353999999999999</v>
      </c>
      <c r="KR70">
        <v>14.992000000000001</v>
      </c>
    </row>
    <row r="71" spans="1:304" x14ac:dyDescent="0.25">
      <c r="A71">
        <v>2019</v>
      </c>
      <c r="B71">
        <v>8</v>
      </c>
      <c r="C71">
        <v>11.7</v>
      </c>
      <c r="D71">
        <v>17.838999999999999</v>
      </c>
      <c r="E71">
        <v>16.777000000000001</v>
      </c>
      <c r="F71">
        <v>16.233000000000001</v>
      </c>
      <c r="G71">
        <v>15.92</v>
      </c>
      <c r="H71">
        <v>17.042000000000002</v>
      </c>
      <c r="I71">
        <v>12.775</v>
      </c>
      <c r="J71">
        <v>12.923</v>
      </c>
      <c r="K71">
        <v>16.04</v>
      </c>
      <c r="L71">
        <v>16.402999999999999</v>
      </c>
      <c r="M71">
        <v>15.992000000000001</v>
      </c>
      <c r="N71">
        <v>16.187000000000001</v>
      </c>
      <c r="O71">
        <v>14.167999999999999</v>
      </c>
      <c r="P71">
        <v>18.081</v>
      </c>
      <c r="Q71">
        <v>14.164999999999999</v>
      </c>
      <c r="R71">
        <v>15.96</v>
      </c>
      <c r="S71">
        <v>15.577</v>
      </c>
      <c r="T71">
        <v>18.350999999999999</v>
      </c>
      <c r="U71">
        <v>15.685</v>
      </c>
      <c r="V71">
        <v>15.601000000000001</v>
      </c>
      <c r="W71">
        <v>16.940999999999999</v>
      </c>
      <c r="X71">
        <v>16.632000000000001</v>
      </c>
      <c r="Y71">
        <v>17.626999999999999</v>
      </c>
      <c r="Z71">
        <v>14.234999999999999</v>
      </c>
      <c r="AA71">
        <v>19.148</v>
      </c>
      <c r="AB71">
        <v>17.751000000000001</v>
      </c>
      <c r="AC71">
        <v>15.711</v>
      </c>
      <c r="AD71">
        <v>16.062999999999999</v>
      </c>
      <c r="AE71">
        <v>17.646999999999998</v>
      </c>
      <c r="AF71">
        <v>16.164000000000001</v>
      </c>
      <c r="AG71">
        <v>15.605</v>
      </c>
      <c r="AH71">
        <v>13.929</v>
      </c>
      <c r="AI71">
        <v>15.013</v>
      </c>
      <c r="AJ71">
        <v>15.739000000000001</v>
      </c>
      <c r="AK71">
        <v>16.238</v>
      </c>
      <c r="AL71">
        <v>16.981000000000002</v>
      </c>
      <c r="AM71">
        <v>17.138999999999999</v>
      </c>
      <c r="AN71">
        <v>18.219000000000001</v>
      </c>
      <c r="AO71">
        <v>16.29</v>
      </c>
      <c r="AP71">
        <v>15.962999999999999</v>
      </c>
      <c r="AQ71">
        <v>17.754000000000001</v>
      </c>
      <c r="AR71">
        <v>15.912000000000001</v>
      </c>
      <c r="AS71">
        <v>18.738</v>
      </c>
      <c r="AT71">
        <v>15.967000000000001</v>
      </c>
      <c r="AU71">
        <v>15.468999999999999</v>
      </c>
      <c r="AV71">
        <v>16.186</v>
      </c>
      <c r="AW71">
        <v>16.783000000000001</v>
      </c>
      <c r="AX71">
        <v>16.867999999999999</v>
      </c>
      <c r="AY71">
        <v>16.222000000000001</v>
      </c>
      <c r="AZ71">
        <v>13.651</v>
      </c>
      <c r="BA71">
        <v>16.106999999999999</v>
      </c>
      <c r="BB71">
        <v>13.618</v>
      </c>
      <c r="BC71">
        <v>15.098000000000001</v>
      </c>
      <c r="BD71">
        <v>15.734</v>
      </c>
      <c r="BE71">
        <v>16.82</v>
      </c>
      <c r="BF71">
        <v>16.513999999999999</v>
      </c>
      <c r="BG71">
        <v>13.096</v>
      </c>
      <c r="BH71">
        <v>12.167</v>
      </c>
      <c r="BI71">
        <v>16.527999999999999</v>
      </c>
      <c r="BJ71">
        <v>17.486999999999998</v>
      </c>
      <c r="BK71">
        <v>16.678000000000001</v>
      </c>
      <c r="BL71">
        <v>17.538</v>
      </c>
      <c r="BM71">
        <v>15.22</v>
      </c>
      <c r="BN71">
        <v>16.628</v>
      </c>
      <c r="BO71">
        <v>16.596</v>
      </c>
      <c r="BP71">
        <v>17.841999999999999</v>
      </c>
      <c r="BQ71">
        <v>14.506</v>
      </c>
      <c r="BR71">
        <v>16.510999999999999</v>
      </c>
      <c r="BS71">
        <v>16.672999999999998</v>
      </c>
      <c r="BT71">
        <v>13.773999999999999</v>
      </c>
      <c r="BU71">
        <v>13.138999999999999</v>
      </c>
      <c r="BV71">
        <v>15.891999999999999</v>
      </c>
      <c r="BW71">
        <v>18.327999999999999</v>
      </c>
      <c r="BX71">
        <v>11.656000000000001</v>
      </c>
      <c r="BY71">
        <v>17.89</v>
      </c>
      <c r="BZ71">
        <v>16.062000000000001</v>
      </c>
      <c r="CA71">
        <v>16.518000000000001</v>
      </c>
      <c r="CB71">
        <v>15.676</v>
      </c>
      <c r="CC71">
        <v>16.585999999999999</v>
      </c>
      <c r="CD71">
        <v>17.048999999999999</v>
      </c>
      <c r="CE71">
        <v>15.842000000000001</v>
      </c>
      <c r="CF71">
        <v>16.474</v>
      </c>
      <c r="CG71">
        <v>15.837</v>
      </c>
      <c r="CH71">
        <v>15.394</v>
      </c>
      <c r="CI71">
        <v>15.239000000000001</v>
      </c>
      <c r="CJ71">
        <v>16.899000000000001</v>
      </c>
      <c r="CK71">
        <v>16.695</v>
      </c>
      <c r="CL71">
        <v>18.113</v>
      </c>
      <c r="CM71">
        <v>16.963000000000001</v>
      </c>
      <c r="CN71">
        <v>17.594999999999999</v>
      </c>
      <c r="CO71">
        <v>17.504000000000001</v>
      </c>
      <c r="CP71">
        <v>13.484</v>
      </c>
      <c r="CQ71">
        <v>14.824</v>
      </c>
      <c r="CR71">
        <v>17.798999999999999</v>
      </c>
      <c r="CS71">
        <v>16.126000000000001</v>
      </c>
      <c r="CT71">
        <v>13.832000000000001</v>
      </c>
      <c r="CU71">
        <v>17.920000000000002</v>
      </c>
      <c r="CV71">
        <v>11.826000000000001</v>
      </c>
      <c r="CW71">
        <v>16.809999999999999</v>
      </c>
      <c r="CX71">
        <v>17.247</v>
      </c>
      <c r="CY71">
        <v>15.941000000000001</v>
      </c>
      <c r="CZ71">
        <v>17.978000000000002</v>
      </c>
      <c r="DA71">
        <v>16.509</v>
      </c>
      <c r="DB71">
        <v>16.946999999999999</v>
      </c>
      <c r="DC71">
        <v>16.117999999999999</v>
      </c>
      <c r="DD71">
        <v>16.283000000000001</v>
      </c>
      <c r="DE71">
        <v>12.113</v>
      </c>
      <c r="DF71">
        <v>16.265999999999998</v>
      </c>
      <c r="DG71">
        <v>17.401</v>
      </c>
      <c r="DH71">
        <v>16.896999999999998</v>
      </c>
      <c r="DI71">
        <v>15.105</v>
      </c>
      <c r="DJ71">
        <v>15.395</v>
      </c>
      <c r="DK71">
        <v>17.55</v>
      </c>
      <c r="DL71">
        <v>16.568999999999999</v>
      </c>
      <c r="DM71">
        <v>16.634</v>
      </c>
      <c r="DN71">
        <v>17.341999999999999</v>
      </c>
      <c r="DO71">
        <v>17.117000000000001</v>
      </c>
      <c r="DP71">
        <v>17.016999999999999</v>
      </c>
      <c r="DQ71">
        <v>12.362</v>
      </c>
      <c r="DR71">
        <v>18.731000000000002</v>
      </c>
      <c r="DS71">
        <v>16.841000000000001</v>
      </c>
      <c r="DT71">
        <v>17.408000000000001</v>
      </c>
      <c r="DU71">
        <v>18.645</v>
      </c>
      <c r="DV71">
        <v>16.367000000000001</v>
      </c>
      <c r="DW71">
        <v>16.388000000000002</v>
      </c>
      <c r="DX71">
        <v>15.157</v>
      </c>
      <c r="DY71">
        <v>16.408000000000001</v>
      </c>
      <c r="DZ71">
        <v>16.050999999999998</v>
      </c>
      <c r="EA71">
        <v>17.571000000000002</v>
      </c>
      <c r="EB71">
        <v>16.832999999999998</v>
      </c>
      <c r="EC71">
        <v>16.457000000000001</v>
      </c>
      <c r="ED71">
        <v>15.973000000000001</v>
      </c>
      <c r="EE71">
        <v>17.295000000000002</v>
      </c>
      <c r="EF71">
        <v>15.836</v>
      </c>
      <c r="EG71">
        <v>15.305999999999999</v>
      </c>
      <c r="EH71">
        <v>19.126000000000001</v>
      </c>
      <c r="EI71">
        <v>15.561999999999999</v>
      </c>
      <c r="EJ71">
        <v>14.736000000000001</v>
      </c>
      <c r="EK71">
        <v>18.806000000000001</v>
      </c>
      <c r="EL71">
        <v>14.195</v>
      </c>
      <c r="EM71">
        <v>17.190000000000001</v>
      </c>
      <c r="EN71">
        <v>16.295999999999999</v>
      </c>
      <c r="EO71">
        <v>19.225000000000001</v>
      </c>
      <c r="EP71">
        <v>14.462</v>
      </c>
      <c r="EQ71">
        <v>13.215</v>
      </c>
      <c r="ER71">
        <v>17.052</v>
      </c>
      <c r="ES71">
        <v>16.359000000000002</v>
      </c>
      <c r="ET71">
        <v>16.472999999999999</v>
      </c>
      <c r="EU71">
        <v>16.846</v>
      </c>
      <c r="EV71">
        <v>15.592000000000001</v>
      </c>
      <c r="EW71">
        <v>16.977</v>
      </c>
      <c r="EX71">
        <v>16.556000000000001</v>
      </c>
      <c r="EY71">
        <v>15.462999999999999</v>
      </c>
      <c r="EZ71">
        <v>16.870999999999999</v>
      </c>
      <c r="FA71">
        <v>17.202000000000002</v>
      </c>
      <c r="FB71">
        <v>17.837</v>
      </c>
      <c r="FC71">
        <v>18.047000000000001</v>
      </c>
      <c r="FD71">
        <v>17.542999999999999</v>
      </c>
      <c r="FE71">
        <v>15.893000000000001</v>
      </c>
      <c r="FF71">
        <v>15.925000000000001</v>
      </c>
      <c r="FG71">
        <v>15.315</v>
      </c>
      <c r="FH71">
        <v>14.994999999999999</v>
      </c>
      <c r="FI71">
        <v>17.433</v>
      </c>
      <c r="FJ71">
        <v>16.669</v>
      </c>
      <c r="FK71">
        <v>13.518000000000001</v>
      </c>
      <c r="FL71">
        <v>16.866</v>
      </c>
      <c r="FM71">
        <v>17.045000000000002</v>
      </c>
      <c r="FN71">
        <v>17.292000000000002</v>
      </c>
      <c r="FO71">
        <v>16.863</v>
      </c>
      <c r="FP71">
        <v>15.459</v>
      </c>
      <c r="FQ71">
        <v>15.662000000000001</v>
      </c>
      <c r="FR71">
        <v>16.643000000000001</v>
      </c>
      <c r="FS71">
        <v>15.32</v>
      </c>
      <c r="FT71">
        <v>17.045000000000002</v>
      </c>
      <c r="FU71">
        <v>16.266999999999999</v>
      </c>
      <c r="FV71">
        <v>17.550999999999998</v>
      </c>
      <c r="FW71">
        <v>17.427</v>
      </c>
      <c r="FX71">
        <v>12.847</v>
      </c>
      <c r="FY71">
        <v>16.850999999999999</v>
      </c>
      <c r="FZ71">
        <v>14.603</v>
      </c>
      <c r="GA71">
        <v>11.914999999999999</v>
      </c>
      <c r="GB71">
        <v>14.374000000000001</v>
      </c>
      <c r="GC71">
        <v>17.446999999999999</v>
      </c>
      <c r="GD71">
        <v>15.163</v>
      </c>
      <c r="GE71">
        <v>16.122</v>
      </c>
      <c r="GF71">
        <v>17.39</v>
      </c>
      <c r="GG71">
        <v>16.265999999999998</v>
      </c>
      <c r="GH71">
        <v>17.221</v>
      </c>
      <c r="GI71">
        <v>18.260000000000002</v>
      </c>
      <c r="GJ71">
        <v>17.864000000000001</v>
      </c>
      <c r="GK71">
        <v>16.492000000000001</v>
      </c>
      <c r="GL71">
        <v>14.795999999999999</v>
      </c>
      <c r="GM71">
        <v>15.863</v>
      </c>
      <c r="GN71">
        <v>18.251999999999999</v>
      </c>
      <c r="GO71">
        <v>16.646999999999998</v>
      </c>
      <c r="GP71">
        <v>16.309999999999999</v>
      </c>
      <c r="GQ71">
        <v>15.7</v>
      </c>
      <c r="GR71">
        <v>14.705</v>
      </c>
      <c r="GS71">
        <v>17.646999999999998</v>
      </c>
      <c r="GT71">
        <v>17.765999999999998</v>
      </c>
      <c r="GU71">
        <v>13.063000000000001</v>
      </c>
      <c r="GV71">
        <v>17.169</v>
      </c>
      <c r="GW71">
        <v>18.786999999999999</v>
      </c>
      <c r="GX71">
        <v>16.87</v>
      </c>
      <c r="GY71">
        <v>17.526</v>
      </c>
      <c r="GZ71">
        <v>17.812999999999999</v>
      </c>
      <c r="HA71">
        <v>15.945</v>
      </c>
      <c r="HB71">
        <v>12.207000000000001</v>
      </c>
      <c r="HC71">
        <v>13.471</v>
      </c>
      <c r="HD71">
        <v>17.195</v>
      </c>
      <c r="HE71">
        <v>17.209</v>
      </c>
      <c r="HF71">
        <v>14.093</v>
      </c>
      <c r="HG71">
        <v>17.786999999999999</v>
      </c>
      <c r="HH71">
        <v>15.635999999999999</v>
      </c>
      <c r="HI71">
        <v>15.69</v>
      </c>
      <c r="HJ71">
        <v>16.359000000000002</v>
      </c>
      <c r="HK71">
        <v>18.254999999999999</v>
      </c>
      <c r="HL71">
        <v>18.718</v>
      </c>
      <c r="HM71">
        <v>14.038</v>
      </c>
      <c r="HN71">
        <v>15.622999999999999</v>
      </c>
      <c r="HO71">
        <v>14.224</v>
      </c>
      <c r="HP71">
        <v>16.684000000000001</v>
      </c>
      <c r="HQ71">
        <v>16.042000000000002</v>
      </c>
      <c r="HR71">
        <v>13.28</v>
      </c>
      <c r="HS71">
        <v>13.544</v>
      </c>
      <c r="HT71">
        <v>15.782</v>
      </c>
      <c r="HU71">
        <v>15.565</v>
      </c>
      <c r="HV71">
        <v>15.834</v>
      </c>
      <c r="HW71">
        <v>17.529</v>
      </c>
      <c r="HX71">
        <v>17.178999999999998</v>
      </c>
      <c r="HY71">
        <v>17.798999999999999</v>
      </c>
      <c r="HZ71">
        <v>16.84</v>
      </c>
      <c r="IA71">
        <v>16.61</v>
      </c>
      <c r="IB71">
        <v>16.202000000000002</v>
      </c>
      <c r="IC71">
        <v>16.32</v>
      </c>
      <c r="ID71">
        <v>15.346</v>
      </c>
      <c r="IE71">
        <v>16.187000000000001</v>
      </c>
      <c r="IF71">
        <v>17.268999999999998</v>
      </c>
      <c r="IG71">
        <v>17.815000000000001</v>
      </c>
      <c r="IH71">
        <v>15.666</v>
      </c>
      <c r="II71">
        <v>17.388999999999999</v>
      </c>
      <c r="IJ71">
        <v>15.507</v>
      </c>
      <c r="IK71">
        <v>16.207999999999998</v>
      </c>
      <c r="IL71">
        <v>18.748999999999999</v>
      </c>
      <c r="IM71">
        <v>16.498000000000001</v>
      </c>
      <c r="IN71">
        <v>16.940000000000001</v>
      </c>
      <c r="IO71">
        <v>17.231999999999999</v>
      </c>
      <c r="IP71">
        <v>17.512</v>
      </c>
      <c r="IQ71">
        <v>12.298</v>
      </c>
      <c r="IR71">
        <v>16.167999999999999</v>
      </c>
      <c r="IS71">
        <v>16.899999999999999</v>
      </c>
      <c r="IT71">
        <v>16.765000000000001</v>
      </c>
      <c r="IU71">
        <v>16.173999999999999</v>
      </c>
      <c r="IV71">
        <v>15.484999999999999</v>
      </c>
      <c r="IW71">
        <v>14.821999999999999</v>
      </c>
      <c r="IX71">
        <v>17.678999999999998</v>
      </c>
      <c r="IY71">
        <v>17.369</v>
      </c>
      <c r="IZ71">
        <v>16.928000000000001</v>
      </c>
      <c r="JA71">
        <v>17.059999999999999</v>
      </c>
      <c r="JB71">
        <v>15.557</v>
      </c>
      <c r="JC71">
        <v>17.489999999999998</v>
      </c>
      <c r="JD71">
        <v>16.73</v>
      </c>
      <c r="JE71">
        <v>14.863</v>
      </c>
      <c r="JF71">
        <v>16.481000000000002</v>
      </c>
      <c r="JG71">
        <v>17.811</v>
      </c>
      <c r="JH71">
        <v>15.859</v>
      </c>
      <c r="JI71">
        <v>13.369</v>
      </c>
      <c r="JJ71">
        <v>16.324000000000002</v>
      </c>
      <c r="JK71">
        <v>14.253</v>
      </c>
      <c r="JL71">
        <v>16.949000000000002</v>
      </c>
      <c r="JM71">
        <v>17.68</v>
      </c>
      <c r="JN71">
        <v>16.027999999999999</v>
      </c>
      <c r="JO71">
        <v>16.556000000000001</v>
      </c>
      <c r="JP71">
        <v>14.55</v>
      </c>
      <c r="JQ71">
        <v>17.356999999999999</v>
      </c>
      <c r="JR71">
        <v>15.997</v>
      </c>
      <c r="JS71">
        <v>17.550999999999998</v>
      </c>
      <c r="JT71">
        <v>16.968</v>
      </c>
      <c r="JU71">
        <v>16.114000000000001</v>
      </c>
      <c r="JV71">
        <v>16.033000000000001</v>
      </c>
      <c r="JW71">
        <v>18.242000000000001</v>
      </c>
      <c r="JX71">
        <v>16.193000000000001</v>
      </c>
      <c r="JY71">
        <v>14.689</v>
      </c>
      <c r="JZ71">
        <v>13.148999999999999</v>
      </c>
      <c r="KA71">
        <v>15.622</v>
      </c>
      <c r="KB71">
        <v>15.920999999999999</v>
      </c>
      <c r="KC71">
        <v>16.896000000000001</v>
      </c>
      <c r="KD71">
        <v>15.968999999999999</v>
      </c>
      <c r="KE71">
        <v>14.465</v>
      </c>
      <c r="KF71">
        <v>13.939</v>
      </c>
      <c r="KG71">
        <v>17.728000000000002</v>
      </c>
      <c r="KH71">
        <v>17.722999999999999</v>
      </c>
      <c r="KI71">
        <v>16.664000000000001</v>
      </c>
      <c r="KJ71">
        <v>16.533999999999999</v>
      </c>
      <c r="KK71">
        <v>16.757999999999999</v>
      </c>
      <c r="KL71">
        <v>15.032</v>
      </c>
      <c r="KM71">
        <v>14.42</v>
      </c>
      <c r="KN71">
        <v>17.207999999999998</v>
      </c>
      <c r="KO71">
        <v>16.364000000000001</v>
      </c>
      <c r="KP71">
        <v>15.077999999999999</v>
      </c>
      <c r="KQ71">
        <v>13.957000000000001</v>
      </c>
      <c r="KR71">
        <v>13.744</v>
      </c>
    </row>
    <row r="72" spans="1:304" x14ac:dyDescent="0.25">
      <c r="A72">
        <v>2019</v>
      </c>
      <c r="B72">
        <v>9</v>
      </c>
      <c r="C72">
        <v>5.5339999999999998</v>
      </c>
      <c r="D72">
        <v>12.824999999999999</v>
      </c>
      <c r="E72">
        <v>12.742000000000001</v>
      </c>
      <c r="F72">
        <v>12.03</v>
      </c>
      <c r="G72">
        <v>11.952</v>
      </c>
      <c r="H72">
        <v>11.676</v>
      </c>
      <c r="I72">
        <v>5.7880000000000003</v>
      </c>
      <c r="J72">
        <v>5.9829999999999997</v>
      </c>
      <c r="K72">
        <v>10.776</v>
      </c>
      <c r="L72">
        <v>11.324999999999999</v>
      </c>
      <c r="M72">
        <v>10.737</v>
      </c>
      <c r="N72">
        <v>11.307</v>
      </c>
      <c r="O72">
        <v>7.5419999999999998</v>
      </c>
      <c r="P72">
        <v>13.499000000000001</v>
      </c>
      <c r="Q72">
        <v>7.7270000000000003</v>
      </c>
      <c r="R72">
        <v>11.89</v>
      </c>
      <c r="S72">
        <v>10.128</v>
      </c>
      <c r="T72">
        <v>13.847</v>
      </c>
      <c r="U72">
        <v>10.34</v>
      </c>
      <c r="V72">
        <v>11.382999999999999</v>
      </c>
      <c r="W72">
        <v>12.004</v>
      </c>
      <c r="X72">
        <v>12.603999999999999</v>
      </c>
      <c r="Y72">
        <v>13.38</v>
      </c>
      <c r="Z72">
        <v>7.54</v>
      </c>
      <c r="AA72">
        <v>14.374000000000001</v>
      </c>
      <c r="AB72">
        <v>13.500999999999999</v>
      </c>
      <c r="AC72">
        <v>10.135999999999999</v>
      </c>
      <c r="AD72">
        <v>11.228999999999999</v>
      </c>
      <c r="AE72">
        <v>12.617000000000001</v>
      </c>
      <c r="AF72">
        <v>10.773</v>
      </c>
      <c r="AG72">
        <v>10.007</v>
      </c>
      <c r="AH72">
        <v>6.9880000000000004</v>
      </c>
      <c r="AI72">
        <v>9.3970000000000002</v>
      </c>
      <c r="AJ72">
        <v>11.124000000000001</v>
      </c>
      <c r="AK72">
        <v>12.191000000000001</v>
      </c>
      <c r="AL72">
        <v>11.846</v>
      </c>
      <c r="AM72">
        <v>11.814</v>
      </c>
      <c r="AN72">
        <v>13.573</v>
      </c>
      <c r="AO72">
        <v>11.922000000000001</v>
      </c>
      <c r="AP72">
        <v>10.77</v>
      </c>
      <c r="AQ72">
        <v>13.738</v>
      </c>
      <c r="AR72">
        <v>11.201000000000001</v>
      </c>
      <c r="AS72">
        <v>14.827999999999999</v>
      </c>
      <c r="AT72">
        <v>10.557</v>
      </c>
      <c r="AU72">
        <v>10.121</v>
      </c>
      <c r="AV72">
        <v>11.166</v>
      </c>
      <c r="AW72">
        <v>11.567</v>
      </c>
      <c r="AX72">
        <v>11.616</v>
      </c>
      <c r="AY72">
        <v>10.972</v>
      </c>
      <c r="AZ72">
        <v>6.9539999999999997</v>
      </c>
      <c r="BA72">
        <v>11.643000000000001</v>
      </c>
      <c r="BB72">
        <v>6.9539999999999997</v>
      </c>
      <c r="BC72">
        <v>9.6059999999999999</v>
      </c>
      <c r="BD72">
        <v>11.52</v>
      </c>
      <c r="BE72">
        <v>11.705</v>
      </c>
      <c r="BF72">
        <v>12.244999999999999</v>
      </c>
      <c r="BG72">
        <v>6.085</v>
      </c>
      <c r="BH72">
        <v>5.5940000000000003</v>
      </c>
      <c r="BI72">
        <v>11.145</v>
      </c>
      <c r="BJ72">
        <v>13.579000000000001</v>
      </c>
      <c r="BK72">
        <v>12.122999999999999</v>
      </c>
      <c r="BL72">
        <v>12.5</v>
      </c>
      <c r="BM72">
        <v>9.7959999999999994</v>
      </c>
      <c r="BN72">
        <v>11.260999999999999</v>
      </c>
      <c r="BO72">
        <v>11.398999999999999</v>
      </c>
      <c r="BP72">
        <v>13.634</v>
      </c>
      <c r="BQ72">
        <v>7.9240000000000004</v>
      </c>
      <c r="BR72">
        <v>12.11</v>
      </c>
      <c r="BS72">
        <v>11.871</v>
      </c>
      <c r="BT72">
        <v>8.7959999999999994</v>
      </c>
      <c r="BU72">
        <v>6.5119999999999996</v>
      </c>
      <c r="BV72">
        <v>10.539</v>
      </c>
      <c r="BW72">
        <v>13.815</v>
      </c>
      <c r="BX72">
        <v>4.8179999999999996</v>
      </c>
      <c r="BY72">
        <v>13.218999999999999</v>
      </c>
      <c r="BZ72">
        <v>11.726000000000001</v>
      </c>
      <c r="CA72">
        <v>12.262</v>
      </c>
      <c r="CB72">
        <v>10.244</v>
      </c>
      <c r="CC72">
        <v>11.726000000000001</v>
      </c>
      <c r="CD72">
        <v>12.115</v>
      </c>
      <c r="CE72">
        <v>10.372</v>
      </c>
      <c r="CF72">
        <v>11.961</v>
      </c>
      <c r="CG72">
        <v>11.866</v>
      </c>
      <c r="CH72">
        <v>10.105</v>
      </c>
      <c r="CI72">
        <v>10.065</v>
      </c>
      <c r="CJ72">
        <v>12.893000000000001</v>
      </c>
      <c r="CK72">
        <v>12.486000000000001</v>
      </c>
      <c r="CL72">
        <v>13.929</v>
      </c>
      <c r="CM72">
        <v>12.444000000000001</v>
      </c>
      <c r="CN72">
        <v>12.949</v>
      </c>
      <c r="CO72">
        <v>12.913</v>
      </c>
      <c r="CP72">
        <v>6.3150000000000004</v>
      </c>
      <c r="CQ72">
        <v>7.8419999999999996</v>
      </c>
      <c r="CR72">
        <v>12.831</v>
      </c>
      <c r="CS72">
        <v>11.59</v>
      </c>
      <c r="CT72">
        <v>8.1479999999999997</v>
      </c>
      <c r="CU72">
        <v>13.632</v>
      </c>
      <c r="CV72">
        <v>5.7939999999999996</v>
      </c>
      <c r="CW72">
        <v>12.42</v>
      </c>
      <c r="CX72">
        <v>13.106</v>
      </c>
      <c r="CY72">
        <v>10.601000000000001</v>
      </c>
      <c r="CZ72">
        <v>13.747999999999999</v>
      </c>
      <c r="DA72">
        <v>11.746</v>
      </c>
      <c r="DB72">
        <v>11.682</v>
      </c>
      <c r="DC72">
        <v>10.964</v>
      </c>
      <c r="DD72">
        <v>12.188000000000001</v>
      </c>
      <c r="DE72">
        <v>5.5709999999999997</v>
      </c>
      <c r="DF72">
        <v>11.507</v>
      </c>
      <c r="DG72">
        <v>12.981</v>
      </c>
      <c r="DH72">
        <v>11.827</v>
      </c>
      <c r="DI72">
        <v>9.9169999999999998</v>
      </c>
      <c r="DJ72">
        <v>9.2469999999999999</v>
      </c>
      <c r="DK72">
        <v>13.439</v>
      </c>
      <c r="DL72">
        <v>11.404999999999999</v>
      </c>
      <c r="DM72">
        <v>11.316000000000001</v>
      </c>
      <c r="DN72">
        <v>13.452</v>
      </c>
      <c r="DO72">
        <v>11.74</v>
      </c>
      <c r="DP72">
        <v>13.015000000000001</v>
      </c>
      <c r="DQ72">
        <v>5.4349999999999996</v>
      </c>
      <c r="DR72">
        <v>14.048</v>
      </c>
      <c r="DS72">
        <v>11.516999999999999</v>
      </c>
      <c r="DT72">
        <v>13.239000000000001</v>
      </c>
      <c r="DU72">
        <v>14.124000000000001</v>
      </c>
      <c r="DV72">
        <v>11.151</v>
      </c>
      <c r="DW72">
        <v>11.134</v>
      </c>
      <c r="DX72">
        <v>9.6039999999999992</v>
      </c>
      <c r="DY72">
        <v>12.353999999999999</v>
      </c>
      <c r="DZ72">
        <v>11.958</v>
      </c>
      <c r="EA72">
        <v>12.532999999999999</v>
      </c>
      <c r="EB72">
        <v>12.464</v>
      </c>
      <c r="EC72">
        <v>12.311999999999999</v>
      </c>
      <c r="ED72">
        <v>10.675000000000001</v>
      </c>
      <c r="EE72">
        <v>12.12</v>
      </c>
      <c r="EF72">
        <v>11.938000000000001</v>
      </c>
      <c r="EG72">
        <v>9.5640000000000001</v>
      </c>
      <c r="EH72">
        <v>14.371</v>
      </c>
      <c r="EI72">
        <v>10.234</v>
      </c>
      <c r="EJ72">
        <v>8.8849999999999998</v>
      </c>
      <c r="EK72">
        <v>14.055999999999999</v>
      </c>
      <c r="EL72">
        <v>6.8079999999999998</v>
      </c>
      <c r="EM72">
        <v>13.26</v>
      </c>
      <c r="EN72">
        <v>11.613</v>
      </c>
      <c r="EO72">
        <v>14.488</v>
      </c>
      <c r="EP72">
        <v>8.5960000000000001</v>
      </c>
      <c r="EQ72">
        <v>6.2080000000000002</v>
      </c>
      <c r="ER72">
        <v>12.571999999999999</v>
      </c>
      <c r="ES72">
        <v>12.285</v>
      </c>
      <c r="ET72">
        <v>12.254</v>
      </c>
      <c r="EU72">
        <v>12.042</v>
      </c>
      <c r="EV72">
        <v>9.8520000000000003</v>
      </c>
      <c r="EW72">
        <v>12.188000000000001</v>
      </c>
      <c r="EX72">
        <v>12.147</v>
      </c>
      <c r="EY72">
        <v>10.151999999999999</v>
      </c>
      <c r="EZ72">
        <v>11.747</v>
      </c>
      <c r="FA72">
        <v>13.247</v>
      </c>
      <c r="FB72">
        <v>13.331</v>
      </c>
      <c r="FC72">
        <v>13.888</v>
      </c>
      <c r="FD72">
        <v>12.518000000000001</v>
      </c>
      <c r="FE72">
        <v>10.648</v>
      </c>
      <c r="FF72">
        <v>10.728</v>
      </c>
      <c r="FG72">
        <v>9.6669999999999998</v>
      </c>
      <c r="FH72">
        <v>8.9380000000000006</v>
      </c>
      <c r="FI72">
        <v>12.048</v>
      </c>
      <c r="FJ72">
        <v>11.728999999999999</v>
      </c>
      <c r="FK72">
        <v>6.657</v>
      </c>
      <c r="FL72">
        <v>12.586</v>
      </c>
      <c r="FM72">
        <v>11.91</v>
      </c>
      <c r="FN72">
        <v>12.08</v>
      </c>
      <c r="FO72">
        <v>12.195</v>
      </c>
      <c r="FP72">
        <v>10.821999999999999</v>
      </c>
      <c r="FQ72">
        <v>10.337999999999999</v>
      </c>
      <c r="FR72">
        <v>12.71</v>
      </c>
      <c r="FS72">
        <v>9.5579999999999998</v>
      </c>
      <c r="FT72">
        <v>12.858000000000001</v>
      </c>
      <c r="FU72">
        <v>12.301</v>
      </c>
      <c r="FV72">
        <v>12.959</v>
      </c>
      <c r="FW72">
        <v>12.201000000000001</v>
      </c>
      <c r="FX72">
        <v>6.59</v>
      </c>
      <c r="FY72">
        <v>12.842000000000001</v>
      </c>
      <c r="FZ72">
        <v>8.2449999999999992</v>
      </c>
      <c r="GA72">
        <v>5.617</v>
      </c>
      <c r="GB72">
        <v>8.1590000000000007</v>
      </c>
      <c r="GC72">
        <v>13.324</v>
      </c>
      <c r="GD72">
        <v>9.5389999999999997</v>
      </c>
      <c r="GE72">
        <v>10.976000000000001</v>
      </c>
      <c r="GF72">
        <v>12.364000000000001</v>
      </c>
      <c r="GG72">
        <v>10.964</v>
      </c>
      <c r="GH72">
        <v>12.193</v>
      </c>
      <c r="GI72">
        <v>14.161</v>
      </c>
      <c r="GJ72">
        <v>13.292</v>
      </c>
      <c r="GK72">
        <v>11.85</v>
      </c>
      <c r="GL72">
        <v>8.2579999999999991</v>
      </c>
      <c r="GM72">
        <v>10.612</v>
      </c>
      <c r="GN72">
        <v>13.686999999999999</v>
      </c>
      <c r="GO72">
        <v>11.247</v>
      </c>
      <c r="GP72">
        <v>11.532</v>
      </c>
      <c r="GQ72">
        <v>10.451000000000001</v>
      </c>
      <c r="GR72">
        <v>7.9909999999999997</v>
      </c>
      <c r="GS72">
        <v>12.666</v>
      </c>
      <c r="GT72">
        <v>12.763</v>
      </c>
      <c r="GU72">
        <v>5.673</v>
      </c>
      <c r="GV72">
        <v>13.525</v>
      </c>
      <c r="GW72">
        <v>14.018000000000001</v>
      </c>
      <c r="GX72">
        <v>12.778</v>
      </c>
      <c r="GY72">
        <v>12.526999999999999</v>
      </c>
      <c r="GZ72">
        <v>12.83</v>
      </c>
      <c r="HA72">
        <v>10.494999999999999</v>
      </c>
      <c r="HB72">
        <v>6.0019999999999998</v>
      </c>
      <c r="HC72">
        <v>6.2389999999999999</v>
      </c>
      <c r="HD72">
        <v>11.973000000000001</v>
      </c>
      <c r="HE72">
        <v>12.916</v>
      </c>
      <c r="HF72">
        <v>7.1550000000000002</v>
      </c>
      <c r="HG72">
        <v>12.8</v>
      </c>
      <c r="HH72">
        <v>9.9049999999999994</v>
      </c>
      <c r="HI72">
        <v>10.488</v>
      </c>
      <c r="HJ72">
        <v>11.169</v>
      </c>
      <c r="HK72">
        <v>13.631</v>
      </c>
      <c r="HL72">
        <v>13.954000000000001</v>
      </c>
      <c r="HM72">
        <v>7.6829999999999998</v>
      </c>
      <c r="HN72">
        <v>11.449</v>
      </c>
      <c r="HO72">
        <v>7.524</v>
      </c>
      <c r="HP72">
        <v>12.602</v>
      </c>
      <c r="HQ72">
        <v>11.561999999999999</v>
      </c>
      <c r="HR72">
        <v>7.27</v>
      </c>
      <c r="HS72">
        <v>6.9409999999999998</v>
      </c>
      <c r="HT72">
        <v>10.436</v>
      </c>
      <c r="HU72">
        <v>11.144</v>
      </c>
      <c r="HV72">
        <v>10.733000000000001</v>
      </c>
      <c r="HW72">
        <v>12.106999999999999</v>
      </c>
      <c r="HX72">
        <v>12.122</v>
      </c>
      <c r="HY72">
        <v>13.385999999999999</v>
      </c>
      <c r="HZ72">
        <v>12.47</v>
      </c>
      <c r="IA72">
        <v>11.833</v>
      </c>
      <c r="IB72">
        <v>11.394</v>
      </c>
      <c r="IC72">
        <v>11.211</v>
      </c>
      <c r="ID72">
        <v>9.5790000000000006</v>
      </c>
      <c r="IE72">
        <v>12.362</v>
      </c>
      <c r="IF72">
        <v>13.593</v>
      </c>
      <c r="IG72">
        <v>13.467000000000001</v>
      </c>
      <c r="IH72">
        <v>10.167</v>
      </c>
      <c r="II72">
        <v>13.391</v>
      </c>
      <c r="IJ72">
        <v>11.3</v>
      </c>
      <c r="IK72">
        <v>11.56</v>
      </c>
      <c r="IL72">
        <v>14.464</v>
      </c>
      <c r="IM72">
        <v>12.339</v>
      </c>
      <c r="IN72">
        <v>12.002000000000001</v>
      </c>
      <c r="IO72">
        <v>12.279</v>
      </c>
      <c r="IP72">
        <v>12.486000000000001</v>
      </c>
      <c r="IQ72">
        <v>5.7560000000000002</v>
      </c>
      <c r="IR72">
        <v>10.957000000000001</v>
      </c>
      <c r="IS72">
        <v>12</v>
      </c>
      <c r="IT72">
        <v>12.465999999999999</v>
      </c>
      <c r="IU72">
        <v>12.256</v>
      </c>
      <c r="IV72">
        <v>11.135999999999999</v>
      </c>
      <c r="IW72">
        <v>8.7449999999999992</v>
      </c>
      <c r="IX72">
        <v>12.676</v>
      </c>
      <c r="IY72">
        <v>12.378</v>
      </c>
      <c r="IZ72">
        <v>11.815</v>
      </c>
      <c r="JA72">
        <v>12.545</v>
      </c>
      <c r="JB72">
        <v>11.319000000000001</v>
      </c>
      <c r="JC72">
        <v>12.582000000000001</v>
      </c>
      <c r="JD72">
        <v>11.694000000000001</v>
      </c>
      <c r="JE72">
        <v>9.1050000000000004</v>
      </c>
      <c r="JF72">
        <v>12.057</v>
      </c>
      <c r="JG72">
        <v>13.772</v>
      </c>
      <c r="JH72">
        <v>11.374000000000001</v>
      </c>
      <c r="JI72">
        <v>6.2380000000000004</v>
      </c>
      <c r="JJ72">
        <v>11.738</v>
      </c>
      <c r="JK72">
        <v>7.3719999999999999</v>
      </c>
      <c r="JL72">
        <v>11.698</v>
      </c>
      <c r="JM72">
        <v>13.319000000000001</v>
      </c>
      <c r="JN72">
        <v>11.706</v>
      </c>
      <c r="JO72">
        <v>12.436</v>
      </c>
      <c r="JP72">
        <v>8.0039999999999996</v>
      </c>
      <c r="JQ72">
        <v>12.395</v>
      </c>
      <c r="JR72">
        <v>11.833</v>
      </c>
      <c r="JS72">
        <v>12.93</v>
      </c>
      <c r="JT72">
        <v>11.811999999999999</v>
      </c>
      <c r="JU72">
        <v>12.010999999999999</v>
      </c>
      <c r="JV72">
        <v>11.289</v>
      </c>
      <c r="JW72">
        <v>14.087999999999999</v>
      </c>
      <c r="JX72">
        <v>11.853999999999999</v>
      </c>
      <c r="JY72">
        <v>8.0609999999999999</v>
      </c>
      <c r="JZ72">
        <v>6.649</v>
      </c>
      <c r="KA72">
        <v>10.754</v>
      </c>
      <c r="KB72">
        <v>11.510999999999999</v>
      </c>
      <c r="KC72">
        <v>11.670999999999999</v>
      </c>
      <c r="KD72">
        <v>12.032</v>
      </c>
      <c r="KE72">
        <v>8.5129999999999999</v>
      </c>
      <c r="KF72">
        <v>7.0750000000000002</v>
      </c>
      <c r="KG72">
        <v>13.429</v>
      </c>
      <c r="KH72">
        <v>14.147</v>
      </c>
      <c r="KI72">
        <v>12.289</v>
      </c>
      <c r="KJ72">
        <v>11.375999999999999</v>
      </c>
      <c r="KK72">
        <v>12.509</v>
      </c>
      <c r="KL72">
        <v>9.1760000000000002</v>
      </c>
      <c r="KM72">
        <v>7.7050000000000001</v>
      </c>
      <c r="KN72">
        <v>12.183999999999999</v>
      </c>
      <c r="KO72">
        <v>11.525</v>
      </c>
      <c r="KP72">
        <v>9.49</v>
      </c>
      <c r="KQ72">
        <v>7.593</v>
      </c>
      <c r="KR72">
        <v>7.7969999999999997</v>
      </c>
    </row>
    <row r="73" spans="1:304" x14ac:dyDescent="0.25">
      <c r="A73">
        <v>2019</v>
      </c>
      <c r="B73">
        <v>10</v>
      </c>
      <c r="C73">
        <v>-2.4060000000000001</v>
      </c>
      <c r="D73">
        <v>7.2309999999999999</v>
      </c>
      <c r="E73">
        <v>7.5979999999999999</v>
      </c>
      <c r="F73">
        <v>7.0419999999999998</v>
      </c>
      <c r="G73">
        <v>7.3760000000000003</v>
      </c>
      <c r="H73">
        <v>6.1210000000000004</v>
      </c>
      <c r="I73">
        <v>-1.6830000000000001</v>
      </c>
      <c r="J73">
        <v>-2.1949999999999998</v>
      </c>
      <c r="K73">
        <v>5.01</v>
      </c>
      <c r="L73">
        <v>6.08</v>
      </c>
      <c r="M73">
        <v>4.8959999999999999</v>
      </c>
      <c r="N73">
        <v>5.5670000000000002</v>
      </c>
      <c r="O73">
        <v>0.85599999999999998</v>
      </c>
      <c r="P73">
        <v>9.1980000000000004</v>
      </c>
      <c r="Q73">
        <v>-0.60599999999999998</v>
      </c>
      <c r="R73">
        <v>7.0949999999999998</v>
      </c>
      <c r="S73">
        <v>3.6779999999999999</v>
      </c>
      <c r="T73">
        <v>9.0790000000000006</v>
      </c>
      <c r="U73">
        <v>4.2869999999999999</v>
      </c>
      <c r="V73">
        <v>6.6319999999999997</v>
      </c>
      <c r="W73">
        <v>6.6120000000000001</v>
      </c>
      <c r="X73">
        <v>8.2219999999999995</v>
      </c>
      <c r="Y73">
        <v>8.9760000000000009</v>
      </c>
      <c r="Z73">
        <v>1.405</v>
      </c>
      <c r="AA73">
        <v>10.074999999999999</v>
      </c>
      <c r="AB73">
        <v>9.2420000000000009</v>
      </c>
      <c r="AC73">
        <v>4.2750000000000004</v>
      </c>
      <c r="AD73">
        <v>5.6189999999999998</v>
      </c>
      <c r="AE73">
        <v>7.0410000000000004</v>
      </c>
      <c r="AF73">
        <v>5.3949999999999996</v>
      </c>
      <c r="AG73">
        <v>3.6360000000000001</v>
      </c>
      <c r="AH73">
        <v>0.77800000000000002</v>
      </c>
      <c r="AI73">
        <v>2.996</v>
      </c>
      <c r="AJ73">
        <v>6.4029999999999996</v>
      </c>
      <c r="AK73">
        <v>7.6520000000000001</v>
      </c>
      <c r="AL73">
        <v>6.12</v>
      </c>
      <c r="AM73">
        <v>6.26</v>
      </c>
      <c r="AN73">
        <v>9.3469999999999995</v>
      </c>
      <c r="AO73">
        <v>6.6050000000000004</v>
      </c>
      <c r="AP73">
        <v>5.0179999999999998</v>
      </c>
      <c r="AQ73">
        <v>9.173</v>
      </c>
      <c r="AR73">
        <v>6.2930000000000001</v>
      </c>
      <c r="AS73">
        <v>10.738</v>
      </c>
      <c r="AT73">
        <v>4.38</v>
      </c>
      <c r="AU73">
        <v>4.6929999999999996</v>
      </c>
      <c r="AV73">
        <v>5.4429999999999996</v>
      </c>
      <c r="AW73">
        <v>6.266</v>
      </c>
      <c r="AX73">
        <v>6.2839999999999998</v>
      </c>
      <c r="AY73">
        <v>5.3209999999999997</v>
      </c>
      <c r="AZ73">
        <v>0.33100000000000002</v>
      </c>
      <c r="BA73">
        <v>6.25</v>
      </c>
      <c r="BB73">
        <v>0.78800000000000003</v>
      </c>
      <c r="BC73">
        <v>3.6709999999999998</v>
      </c>
      <c r="BD73">
        <v>6.99</v>
      </c>
      <c r="BE73">
        <v>6.4359999999999999</v>
      </c>
      <c r="BF73">
        <v>6.83</v>
      </c>
      <c r="BG73">
        <v>-0.44</v>
      </c>
      <c r="BH73">
        <v>-3.8330000000000002</v>
      </c>
      <c r="BI73">
        <v>5.3419999999999996</v>
      </c>
      <c r="BJ73">
        <v>8.5350000000000001</v>
      </c>
      <c r="BK73">
        <v>6.6980000000000004</v>
      </c>
      <c r="BL73">
        <v>6.718</v>
      </c>
      <c r="BM73">
        <v>4.0970000000000004</v>
      </c>
      <c r="BN73">
        <v>5.9269999999999996</v>
      </c>
      <c r="BO73">
        <v>5.6120000000000001</v>
      </c>
      <c r="BP73">
        <v>9.19</v>
      </c>
      <c r="BQ73">
        <v>1.7490000000000001</v>
      </c>
      <c r="BR73">
        <v>6.7130000000000001</v>
      </c>
      <c r="BS73">
        <v>6.5720000000000001</v>
      </c>
      <c r="BT73">
        <v>0.747</v>
      </c>
      <c r="BU73">
        <v>0.43099999999999999</v>
      </c>
      <c r="BV73">
        <v>4.5780000000000003</v>
      </c>
      <c r="BW73">
        <v>9.5370000000000008</v>
      </c>
      <c r="BX73">
        <v>-0.96899999999999997</v>
      </c>
      <c r="BY73">
        <v>8.6319999999999997</v>
      </c>
      <c r="BZ73">
        <v>6.577</v>
      </c>
      <c r="CA73">
        <v>7.476</v>
      </c>
      <c r="CB73">
        <v>4.2300000000000004</v>
      </c>
      <c r="CC73">
        <v>6.298</v>
      </c>
      <c r="CD73">
        <v>6.7320000000000002</v>
      </c>
      <c r="CE73">
        <v>4.468</v>
      </c>
      <c r="CF73">
        <v>6.9779999999999998</v>
      </c>
      <c r="CG73">
        <v>7.468</v>
      </c>
      <c r="CH73">
        <v>4.6379999999999999</v>
      </c>
      <c r="CI73">
        <v>4.0369999999999999</v>
      </c>
      <c r="CJ73">
        <v>7.9189999999999996</v>
      </c>
      <c r="CK73">
        <v>8.1660000000000004</v>
      </c>
      <c r="CL73">
        <v>9.7469999999999999</v>
      </c>
      <c r="CM73">
        <v>7.6159999999999997</v>
      </c>
      <c r="CN73">
        <v>8.73</v>
      </c>
      <c r="CO73">
        <v>8.6709999999999994</v>
      </c>
      <c r="CP73">
        <v>-2.7890000000000001</v>
      </c>
      <c r="CQ73">
        <v>1.74</v>
      </c>
      <c r="CR73">
        <v>7.1669999999999998</v>
      </c>
      <c r="CS73">
        <v>6.9640000000000004</v>
      </c>
      <c r="CT73">
        <v>5.2999999999999999E-2</v>
      </c>
      <c r="CU73">
        <v>8.7449999999999992</v>
      </c>
      <c r="CV73">
        <v>-4.5019999999999998</v>
      </c>
      <c r="CW73">
        <v>7.3529999999999998</v>
      </c>
      <c r="CX73">
        <v>8.6180000000000003</v>
      </c>
      <c r="CY73">
        <v>5.2309999999999999</v>
      </c>
      <c r="CZ73">
        <v>9.2509999999999994</v>
      </c>
      <c r="DA73">
        <v>6.2089999999999996</v>
      </c>
      <c r="DB73">
        <v>6.26</v>
      </c>
      <c r="DC73">
        <v>5.327</v>
      </c>
      <c r="DD73">
        <v>7.4870000000000001</v>
      </c>
      <c r="DE73">
        <v>-4.2949999999999999</v>
      </c>
      <c r="DF73">
        <v>6.4980000000000002</v>
      </c>
      <c r="DG73">
        <v>8.73</v>
      </c>
      <c r="DH73">
        <v>6.1619999999999999</v>
      </c>
      <c r="DI73">
        <v>4.367</v>
      </c>
      <c r="DJ73">
        <v>3.0089999999999999</v>
      </c>
      <c r="DK73">
        <v>9.0329999999999995</v>
      </c>
      <c r="DL73">
        <v>5.9349999999999996</v>
      </c>
      <c r="DM73">
        <v>5.9669999999999996</v>
      </c>
      <c r="DN73">
        <v>8.5749999999999993</v>
      </c>
      <c r="DO73">
        <v>6.1760000000000002</v>
      </c>
      <c r="DP73">
        <v>7.8710000000000004</v>
      </c>
      <c r="DQ73">
        <v>-2.5680000000000001</v>
      </c>
      <c r="DR73">
        <v>9.7889999999999997</v>
      </c>
      <c r="DS73">
        <v>5.8719999999999999</v>
      </c>
      <c r="DT73">
        <v>8.8840000000000003</v>
      </c>
      <c r="DU73">
        <v>9.907</v>
      </c>
      <c r="DV73">
        <v>5.8540000000000001</v>
      </c>
      <c r="DW73">
        <v>5.8</v>
      </c>
      <c r="DX73">
        <v>3.67</v>
      </c>
      <c r="DY73">
        <v>7.4489999999999998</v>
      </c>
      <c r="DZ73">
        <v>7.4610000000000003</v>
      </c>
      <c r="EA73">
        <v>7.0119999999999996</v>
      </c>
      <c r="EB73">
        <v>7.056</v>
      </c>
      <c r="EC73">
        <v>6.8940000000000001</v>
      </c>
      <c r="ED73">
        <v>5.0940000000000003</v>
      </c>
      <c r="EE73">
        <v>7.077</v>
      </c>
      <c r="EF73">
        <v>7.4029999999999996</v>
      </c>
      <c r="EG73">
        <v>3.0310000000000001</v>
      </c>
      <c r="EH73">
        <v>10.092000000000001</v>
      </c>
      <c r="EI73">
        <v>4.4320000000000004</v>
      </c>
      <c r="EJ73">
        <v>0.68500000000000005</v>
      </c>
      <c r="EK73">
        <v>9.8010000000000002</v>
      </c>
      <c r="EL73">
        <v>5.1999999999999998E-2</v>
      </c>
      <c r="EM73">
        <v>7.9429999999999996</v>
      </c>
      <c r="EN73">
        <v>6.609</v>
      </c>
      <c r="EO73">
        <v>10.18</v>
      </c>
      <c r="EP73">
        <v>2.774</v>
      </c>
      <c r="EQ73">
        <v>-1.2370000000000001</v>
      </c>
      <c r="ER73">
        <v>7.1369999999999996</v>
      </c>
      <c r="ES73">
        <v>7.8579999999999997</v>
      </c>
      <c r="ET73">
        <v>7.0880000000000001</v>
      </c>
      <c r="EU73">
        <v>6.8869999999999996</v>
      </c>
      <c r="EV73">
        <v>3.7130000000000001</v>
      </c>
      <c r="EW73">
        <v>7.0229999999999997</v>
      </c>
      <c r="EX73">
        <v>6.6440000000000001</v>
      </c>
      <c r="EY73">
        <v>4.601</v>
      </c>
      <c r="EZ73">
        <v>6.0110000000000001</v>
      </c>
      <c r="FA73">
        <v>8.2349999999999994</v>
      </c>
      <c r="FB73">
        <v>8.5109999999999992</v>
      </c>
      <c r="FC73">
        <v>8.9870000000000001</v>
      </c>
      <c r="FD73">
        <v>7.0339999999999998</v>
      </c>
      <c r="FE73">
        <v>5.14</v>
      </c>
      <c r="FF73">
        <v>4.9409999999999998</v>
      </c>
      <c r="FG73">
        <v>3.6240000000000001</v>
      </c>
      <c r="FH73">
        <v>2.5009999999999999</v>
      </c>
      <c r="FI73">
        <v>6.8550000000000004</v>
      </c>
      <c r="FJ73">
        <v>6.2560000000000002</v>
      </c>
      <c r="FK73">
        <v>-0.67400000000000004</v>
      </c>
      <c r="FL73">
        <v>7.9610000000000003</v>
      </c>
      <c r="FM73">
        <v>6.5590000000000002</v>
      </c>
      <c r="FN73">
        <v>6.8529999999999998</v>
      </c>
      <c r="FO73">
        <v>7.1779999999999999</v>
      </c>
      <c r="FP73">
        <v>6.2130000000000001</v>
      </c>
      <c r="FQ73">
        <v>4.2220000000000004</v>
      </c>
      <c r="FR73">
        <v>8.1140000000000008</v>
      </c>
      <c r="FS73">
        <v>3.2959999999999998</v>
      </c>
      <c r="FT73">
        <v>7.4089999999999998</v>
      </c>
      <c r="FU73">
        <v>7.8810000000000002</v>
      </c>
      <c r="FV73">
        <v>7.8819999999999997</v>
      </c>
      <c r="FW73">
        <v>7.2830000000000004</v>
      </c>
      <c r="FX73">
        <v>-2.661</v>
      </c>
      <c r="FY73">
        <v>7.8570000000000002</v>
      </c>
      <c r="FZ73">
        <v>0.29499999999999998</v>
      </c>
      <c r="GA73">
        <v>-1.5229999999999999</v>
      </c>
      <c r="GB73">
        <v>1.679</v>
      </c>
      <c r="GC73">
        <v>8.8109999999999999</v>
      </c>
      <c r="GD73">
        <v>3.5</v>
      </c>
      <c r="GE73">
        <v>5.258</v>
      </c>
      <c r="GF73">
        <v>6.8920000000000003</v>
      </c>
      <c r="GG73">
        <v>4.8609999999999998</v>
      </c>
      <c r="GH73">
        <v>6.4809999999999999</v>
      </c>
      <c r="GI73">
        <v>9.9619999999999997</v>
      </c>
      <c r="GJ73">
        <v>9.0500000000000007</v>
      </c>
      <c r="GK73">
        <v>6.54</v>
      </c>
      <c r="GL73">
        <v>0.96</v>
      </c>
      <c r="GM73">
        <v>4.8949999999999996</v>
      </c>
      <c r="GN73">
        <v>9.4480000000000004</v>
      </c>
      <c r="GO73">
        <v>5.8090000000000002</v>
      </c>
      <c r="GP73">
        <v>6.367</v>
      </c>
      <c r="GQ73">
        <v>4.633</v>
      </c>
      <c r="GR73">
        <v>1.847</v>
      </c>
      <c r="GS73">
        <v>7.0049999999999999</v>
      </c>
      <c r="GT73">
        <v>7.1710000000000003</v>
      </c>
      <c r="GU73">
        <v>-1.3859999999999999</v>
      </c>
      <c r="GV73">
        <v>8.4329999999999998</v>
      </c>
      <c r="GW73">
        <v>9.7469999999999999</v>
      </c>
      <c r="GX73">
        <v>7.4480000000000004</v>
      </c>
      <c r="GY73">
        <v>7.0330000000000004</v>
      </c>
      <c r="GZ73">
        <v>7.2119999999999997</v>
      </c>
      <c r="HA73">
        <v>5.0289999999999999</v>
      </c>
      <c r="HB73">
        <v>1.6E-2</v>
      </c>
      <c r="HC73">
        <v>-0.39100000000000001</v>
      </c>
      <c r="HD73">
        <v>6.4290000000000003</v>
      </c>
      <c r="HE73">
        <v>7.1239999999999997</v>
      </c>
      <c r="HF73">
        <v>1.1399999999999999</v>
      </c>
      <c r="HG73">
        <v>7.1760000000000002</v>
      </c>
      <c r="HH73">
        <v>3.7450000000000001</v>
      </c>
      <c r="HI73">
        <v>4.79</v>
      </c>
      <c r="HJ73">
        <v>5.3609999999999998</v>
      </c>
      <c r="HK73">
        <v>9.3490000000000002</v>
      </c>
      <c r="HL73">
        <v>9.593</v>
      </c>
      <c r="HM73">
        <v>1.3879999999999999</v>
      </c>
      <c r="HN73">
        <v>6.9009999999999998</v>
      </c>
      <c r="HO73">
        <v>1.5349999999999999</v>
      </c>
      <c r="HP73">
        <v>7.2690000000000001</v>
      </c>
      <c r="HQ73">
        <v>6.0140000000000002</v>
      </c>
      <c r="HR73">
        <v>1.3660000000000001</v>
      </c>
      <c r="HS73">
        <v>0.73699999999999999</v>
      </c>
      <c r="HT73">
        <v>4.3769999999999998</v>
      </c>
      <c r="HU73">
        <v>6.5750000000000002</v>
      </c>
      <c r="HV73">
        <v>5.1020000000000003</v>
      </c>
      <c r="HW73">
        <v>6.9390000000000001</v>
      </c>
      <c r="HX73">
        <v>6.7</v>
      </c>
      <c r="HY73">
        <v>9.1210000000000004</v>
      </c>
      <c r="HZ73">
        <v>6.8029999999999999</v>
      </c>
      <c r="IA73">
        <v>6.6520000000000001</v>
      </c>
      <c r="IB73">
        <v>6.4320000000000004</v>
      </c>
      <c r="IC73">
        <v>5.36</v>
      </c>
      <c r="ID73">
        <v>3.3290000000000002</v>
      </c>
      <c r="IE73">
        <v>7.8470000000000004</v>
      </c>
      <c r="IF73">
        <v>8.5500000000000007</v>
      </c>
      <c r="IG73">
        <v>9.125</v>
      </c>
      <c r="IH73">
        <v>4.2030000000000003</v>
      </c>
      <c r="II73">
        <v>8.6310000000000002</v>
      </c>
      <c r="IJ73">
        <v>6.774</v>
      </c>
      <c r="IK73">
        <v>6.532</v>
      </c>
      <c r="IL73">
        <v>10.182</v>
      </c>
      <c r="IM73">
        <v>6.7190000000000003</v>
      </c>
      <c r="IN73">
        <v>6.8540000000000001</v>
      </c>
      <c r="IO73">
        <v>6.8940000000000001</v>
      </c>
      <c r="IP73">
        <v>6.9009999999999998</v>
      </c>
      <c r="IQ73">
        <v>-0.13700000000000001</v>
      </c>
      <c r="IR73">
        <v>5.1989999999999998</v>
      </c>
      <c r="IS73">
        <v>6.5119999999999996</v>
      </c>
      <c r="IT73">
        <v>6.9980000000000002</v>
      </c>
      <c r="IU73">
        <v>7.7789999999999999</v>
      </c>
      <c r="IV73">
        <v>6.4580000000000002</v>
      </c>
      <c r="IW73">
        <v>2.2330000000000001</v>
      </c>
      <c r="IX73">
        <v>6.9050000000000002</v>
      </c>
      <c r="IY73">
        <v>6.7290000000000001</v>
      </c>
      <c r="IZ73">
        <v>6.0609999999999999</v>
      </c>
      <c r="JA73">
        <v>7.49</v>
      </c>
      <c r="JB73">
        <v>6.6829999999999998</v>
      </c>
      <c r="JC73">
        <v>7.141</v>
      </c>
      <c r="JD73">
        <v>6.202</v>
      </c>
      <c r="JE73">
        <v>3.3140000000000001</v>
      </c>
      <c r="JF73">
        <v>6.7050000000000001</v>
      </c>
      <c r="JG73">
        <v>9.1440000000000001</v>
      </c>
      <c r="JH73">
        <v>6.73</v>
      </c>
      <c r="JI73">
        <v>-0.14199999999999999</v>
      </c>
      <c r="JJ73">
        <v>6.7889999999999997</v>
      </c>
      <c r="JK73">
        <v>0.67800000000000005</v>
      </c>
      <c r="JL73">
        <v>6.1710000000000003</v>
      </c>
      <c r="JM73">
        <v>8.74</v>
      </c>
      <c r="JN73">
        <v>6.6020000000000003</v>
      </c>
      <c r="JO73">
        <v>6.8120000000000003</v>
      </c>
      <c r="JP73">
        <v>1.4710000000000001</v>
      </c>
      <c r="JQ73">
        <v>6.9550000000000001</v>
      </c>
      <c r="JR73">
        <v>7.2</v>
      </c>
      <c r="JS73">
        <v>8.0660000000000007</v>
      </c>
      <c r="JT73">
        <v>6.0380000000000003</v>
      </c>
      <c r="JU73">
        <v>7.4379999999999997</v>
      </c>
      <c r="JV73">
        <v>6.4589999999999996</v>
      </c>
      <c r="JW73">
        <v>9.8019999999999996</v>
      </c>
      <c r="JX73">
        <v>6.3070000000000004</v>
      </c>
      <c r="JY73">
        <v>1.673</v>
      </c>
      <c r="JZ73">
        <v>0.46500000000000002</v>
      </c>
      <c r="KA73">
        <v>5.0149999999999997</v>
      </c>
      <c r="KB73">
        <v>6.8760000000000003</v>
      </c>
      <c r="KC73">
        <v>6.6159999999999997</v>
      </c>
      <c r="KD73">
        <v>7.5309999999999997</v>
      </c>
      <c r="KE73">
        <v>2.4260000000000002</v>
      </c>
      <c r="KF73">
        <v>-1.226</v>
      </c>
      <c r="KG73">
        <v>9.1679999999999993</v>
      </c>
      <c r="KH73">
        <v>9.3000000000000007</v>
      </c>
      <c r="KI73">
        <v>7.3929999999999998</v>
      </c>
      <c r="KJ73">
        <v>5.9480000000000004</v>
      </c>
      <c r="KK73">
        <v>8.24</v>
      </c>
      <c r="KL73">
        <v>2.8530000000000002</v>
      </c>
      <c r="KM73">
        <v>1.627</v>
      </c>
      <c r="KN73">
        <v>6.6669999999999998</v>
      </c>
      <c r="KO73">
        <v>5.8579999999999997</v>
      </c>
      <c r="KP73">
        <v>3.5979999999999999</v>
      </c>
      <c r="KQ73">
        <v>-0.96099999999999997</v>
      </c>
      <c r="KR73">
        <v>-0.8</v>
      </c>
    </row>
    <row r="74" spans="1:304" x14ac:dyDescent="0.25">
      <c r="A74">
        <v>2019</v>
      </c>
      <c r="B74">
        <v>11</v>
      </c>
      <c r="C74">
        <v>-6.9379999999999997</v>
      </c>
      <c r="D74">
        <v>3.7890000000000001</v>
      </c>
      <c r="E74">
        <v>4.0549999999999997</v>
      </c>
      <c r="F74">
        <v>3.66</v>
      </c>
      <c r="G74">
        <v>3.9609999999999999</v>
      </c>
      <c r="H74">
        <v>2.2480000000000002</v>
      </c>
      <c r="I74">
        <v>-8.5399999999999991</v>
      </c>
      <c r="J74">
        <v>-8.0050000000000008</v>
      </c>
      <c r="K74">
        <v>1.1299999999999999</v>
      </c>
      <c r="L74">
        <v>2.1190000000000002</v>
      </c>
      <c r="M74">
        <v>0.96399999999999997</v>
      </c>
      <c r="N74">
        <v>1.8540000000000001</v>
      </c>
      <c r="O74">
        <v>-4.2480000000000002</v>
      </c>
      <c r="P74">
        <v>5.7370000000000001</v>
      </c>
      <c r="Q74">
        <v>-6.8570000000000002</v>
      </c>
      <c r="R74">
        <v>3.6619999999999999</v>
      </c>
      <c r="S74">
        <v>-0.67800000000000005</v>
      </c>
      <c r="T74">
        <v>5.8449999999999998</v>
      </c>
      <c r="U74">
        <v>-8.3000000000000004E-2</v>
      </c>
      <c r="V74">
        <v>3.2130000000000001</v>
      </c>
      <c r="W74">
        <v>3.6040000000000001</v>
      </c>
      <c r="X74">
        <v>5.0830000000000002</v>
      </c>
      <c r="Y74">
        <v>6.077</v>
      </c>
      <c r="Z74">
        <v>-3.68</v>
      </c>
      <c r="AA74">
        <v>6.4370000000000003</v>
      </c>
      <c r="AB74">
        <v>5.4660000000000002</v>
      </c>
      <c r="AC74">
        <v>9.2999999999999999E-2</v>
      </c>
      <c r="AD74">
        <v>1.835</v>
      </c>
      <c r="AE74">
        <v>3.7229999999999999</v>
      </c>
      <c r="AF74">
        <v>1.486</v>
      </c>
      <c r="AG74">
        <v>-0.79</v>
      </c>
      <c r="AH74">
        <v>-5.2489999999999997</v>
      </c>
      <c r="AI74">
        <v>-1.266</v>
      </c>
      <c r="AJ74">
        <v>2.6520000000000001</v>
      </c>
      <c r="AK74">
        <v>4.2670000000000003</v>
      </c>
      <c r="AL74">
        <v>2.5249999999999999</v>
      </c>
      <c r="AM74">
        <v>2.5750000000000002</v>
      </c>
      <c r="AN74">
        <v>5.8090000000000002</v>
      </c>
      <c r="AO74">
        <v>3.0259999999999998</v>
      </c>
      <c r="AP74">
        <v>0.95499999999999996</v>
      </c>
      <c r="AQ74">
        <v>5.4569999999999999</v>
      </c>
      <c r="AR74">
        <v>2.6379999999999999</v>
      </c>
      <c r="AS74">
        <v>7.431</v>
      </c>
      <c r="AT74">
        <v>0.11</v>
      </c>
      <c r="AU74">
        <v>0.85399999999999998</v>
      </c>
      <c r="AV74">
        <v>2.0329999999999999</v>
      </c>
      <c r="AW74">
        <v>2.6589999999999998</v>
      </c>
      <c r="AX74">
        <v>2.8410000000000002</v>
      </c>
      <c r="AY74">
        <v>1.3560000000000001</v>
      </c>
      <c r="AZ74">
        <v>-5.1870000000000003</v>
      </c>
      <c r="BA74">
        <v>2.5489999999999999</v>
      </c>
      <c r="BB74">
        <v>-4.4770000000000003</v>
      </c>
      <c r="BC74">
        <v>-0.63</v>
      </c>
      <c r="BD74">
        <v>3.4830000000000001</v>
      </c>
      <c r="BE74">
        <v>3.391</v>
      </c>
      <c r="BF74">
        <v>3.1480000000000001</v>
      </c>
      <c r="BG74">
        <v>-6.3209999999999997</v>
      </c>
      <c r="BH74">
        <v>-9.5670000000000002</v>
      </c>
      <c r="BI74">
        <v>1.4219999999999999</v>
      </c>
      <c r="BJ74">
        <v>4.7489999999999997</v>
      </c>
      <c r="BK74">
        <v>3.085</v>
      </c>
      <c r="BL74">
        <v>3.2909999999999999</v>
      </c>
      <c r="BM74">
        <v>9.2999999999999999E-2</v>
      </c>
      <c r="BN74">
        <v>2.0049999999999999</v>
      </c>
      <c r="BO74">
        <v>1.778</v>
      </c>
      <c r="BP74">
        <v>5.4809999999999999</v>
      </c>
      <c r="BQ74">
        <v>-3.5550000000000002</v>
      </c>
      <c r="BR74">
        <v>2.7749999999999999</v>
      </c>
      <c r="BS74">
        <v>3.839</v>
      </c>
      <c r="BT74">
        <v>-4.7949999999999999</v>
      </c>
      <c r="BU74">
        <v>-4.9969999999999999</v>
      </c>
      <c r="BV74">
        <v>0.60699999999999998</v>
      </c>
      <c r="BW74">
        <v>6.0759999999999996</v>
      </c>
      <c r="BX74">
        <v>-7.6180000000000003</v>
      </c>
      <c r="BY74">
        <v>5.6459999999999999</v>
      </c>
      <c r="BZ74">
        <v>2.984</v>
      </c>
      <c r="CA74">
        <v>3.919</v>
      </c>
      <c r="CB74">
        <v>0.16300000000000001</v>
      </c>
      <c r="CC74">
        <v>2.6560000000000001</v>
      </c>
      <c r="CD74">
        <v>3.7480000000000002</v>
      </c>
      <c r="CE74">
        <v>0.129</v>
      </c>
      <c r="CF74">
        <v>3.573</v>
      </c>
      <c r="CG74">
        <v>3.9860000000000002</v>
      </c>
      <c r="CH74">
        <v>0.57699999999999996</v>
      </c>
      <c r="CI74">
        <v>-0.45300000000000001</v>
      </c>
      <c r="CJ74">
        <v>4.2649999999999997</v>
      </c>
      <c r="CK74">
        <v>4.8120000000000003</v>
      </c>
      <c r="CL74">
        <v>6.2190000000000003</v>
      </c>
      <c r="CM74">
        <v>4.1829999999999998</v>
      </c>
      <c r="CN74">
        <v>5.3159999999999998</v>
      </c>
      <c r="CO74">
        <v>5.2759999999999998</v>
      </c>
      <c r="CP74">
        <v>-10.458</v>
      </c>
      <c r="CQ74">
        <v>-4.0460000000000003</v>
      </c>
      <c r="CR74">
        <v>3.6880000000000002</v>
      </c>
      <c r="CS74">
        <v>3.2970000000000002</v>
      </c>
      <c r="CT74">
        <v>-5.5579999999999998</v>
      </c>
      <c r="CU74">
        <v>5.6029999999999998</v>
      </c>
      <c r="CV74">
        <v>-11.736000000000001</v>
      </c>
      <c r="CW74">
        <v>3.8540000000000001</v>
      </c>
      <c r="CX74">
        <v>5.7190000000000003</v>
      </c>
      <c r="CY74">
        <v>1.272</v>
      </c>
      <c r="CZ74">
        <v>6.149</v>
      </c>
      <c r="DA74">
        <v>2.218</v>
      </c>
      <c r="DB74">
        <v>2.7280000000000002</v>
      </c>
      <c r="DC74">
        <v>1.3420000000000001</v>
      </c>
      <c r="DD74">
        <v>3.9860000000000002</v>
      </c>
      <c r="DE74">
        <v>-10.651999999999999</v>
      </c>
      <c r="DF74">
        <v>2.968</v>
      </c>
      <c r="DG74">
        <v>5.3920000000000003</v>
      </c>
      <c r="DH74">
        <v>2.7170000000000001</v>
      </c>
      <c r="DI74">
        <v>0.33100000000000002</v>
      </c>
      <c r="DJ74">
        <v>-1.853</v>
      </c>
      <c r="DK74">
        <v>5.8869999999999996</v>
      </c>
      <c r="DL74">
        <v>1.9490000000000001</v>
      </c>
      <c r="DM74">
        <v>2.0419999999999998</v>
      </c>
      <c r="DN74">
        <v>4.8659999999999997</v>
      </c>
      <c r="DO74">
        <v>2.27</v>
      </c>
      <c r="DP74">
        <v>4.258</v>
      </c>
      <c r="DQ74">
        <v>-10.210000000000001</v>
      </c>
      <c r="DR74">
        <v>6.1669999999999998</v>
      </c>
      <c r="DS74">
        <v>1.972</v>
      </c>
      <c r="DT74">
        <v>5.2439999999999998</v>
      </c>
      <c r="DU74">
        <v>6.3550000000000004</v>
      </c>
      <c r="DV74">
        <v>1.825</v>
      </c>
      <c r="DW74">
        <v>1.788</v>
      </c>
      <c r="DX74">
        <v>-0.629</v>
      </c>
      <c r="DY74">
        <v>3.9689999999999999</v>
      </c>
      <c r="DZ74">
        <v>4.0129999999999999</v>
      </c>
      <c r="EA74">
        <v>3.8370000000000002</v>
      </c>
      <c r="EB74">
        <v>3.4049999999999998</v>
      </c>
      <c r="EC74">
        <v>3.2829999999999999</v>
      </c>
      <c r="ED74">
        <v>1.0620000000000001</v>
      </c>
      <c r="EE74">
        <v>3.129</v>
      </c>
      <c r="EF74">
        <v>3.988</v>
      </c>
      <c r="EG74">
        <v>-1.409</v>
      </c>
      <c r="EH74">
        <v>6.4420000000000002</v>
      </c>
      <c r="EI74">
        <v>0.21299999999999999</v>
      </c>
      <c r="EJ74">
        <v>-5.1859999999999999</v>
      </c>
      <c r="EK74">
        <v>6.17</v>
      </c>
      <c r="EL74">
        <v>-6.5019999999999998</v>
      </c>
      <c r="EM74">
        <v>3.9609999999999999</v>
      </c>
      <c r="EN74">
        <v>2.746</v>
      </c>
      <c r="EO74">
        <v>6.5789999999999997</v>
      </c>
      <c r="EP74">
        <v>-1.542</v>
      </c>
      <c r="EQ74">
        <v>-7.32</v>
      </c>
      <c r="ER74">
        <v>3.4119999999999999</v>
      </c>
      <c r="ES74">
        <v>4.4630000000000001</v>
      </c>
      <c r="ET74">
        <v>3.3319999999999999</v>
      </c>
      <c r="EU74">
        <v>2.819</v>
      </c>
      <c r="EV74">
        <v>-0.68700000000000006</v>
      </c>
      <c r="EW74">
        <v>2.8170000000000002</v>
      </c>
      <c r="EX74">
        <v>2.9420000000000002</v>
      </c>
      <c r="EY74">
        <v>0.69199999999999995</v>
      </c>
      <c r="EZ74">
        <v>2.44</v>
      </c>
      <c r="FA74">
        <v>4.51</v>
      </c>
      <c r="FB74">
        <v>5.2850000000000001</v>
      </c>
      <c r="FC74">
        <v>5.8150000000000004</v>
      </c>
      <c r="FD74">
        <v>3.9350000000000001</v>
      </c>
      <c r="FE74">
        <v>0.99099999999999999</v>
      </c>
      <c r="FF74">
        <v>0.94799999999999995</v>
      </c>
      <c r="FG74">
        <v>-0.752</v>
      </c>
      <c r="FH74">
        <v>-2.1539999999999999</v>
      </c>
      <c r="FI74">
        <v>3.2240000000000002</v>
      </c>
      <c r="FJ74">
        <v>3.4390000000000001</v>
      </c>
      <c r="FK74">
        <v>-6.4130000000000003</v>
      </c>
      <c r="FL74">
        <v>4.5229999999999997</v>
      </c>
      <c r="FM74">
        <v>3.41</v>
      </c>
      <c r="FN74">
        <v>3.7229999999999999</v>
      </c>
      <c r="FO74">
        <v>4.5069999999999997</v>
      </c>
      <c r="FP74">
        <v>2.3980000000000001</v>
      </c>
      <c r="FQ74">
        <v>-6.6000000000000003E-2</v>
      </c>
      <c r="FR74">
        <v>5.0579999999999998</v>
      </c>
      <c r="FS74">
        <v>-1.0640000000000001</v>
      </c>
      <c r="FT74">
        <v>3.617</v>
      </c>
      <c r="FU74">
        <v>4.6070000000000002</v>
      </c>
      <c r="FV74">
        <v>4.6310000000000002</v>
      </c>
      <c r="FW74">
        <v>4.327</v>
      </c>
      <c r="FX74">
        <v>-9.3659999999999997</v>
      </c>
      <c r="FY74">
        <v>4.2430000000000003</v>
      </c>
      <c r="FZ74">
        <v>-5.07</v>
      </c>
      <c r="GA74">
        <v>-6.2809999999999997</v>
      </c>
      <c r="GB74">
        <v>-3.0459999999999998</v>
      </c>
      <c r="GC74">
        <v>5.8040000000000003</v>
      </c>
      <c r="GD74">
        <v>-0.77800000000000002</v>
      </c>
      <c r="GE74">
        <v>1.3049999999999999</v>
      </c>
      <c r="GF74">
        <v>3.6459999999999999</v>
      </c>
      <c r="GG74">
        <v>0.70399999999999996</v>
      </c>
      <c r="GH74">
        <v>3.0550000000000002</v>
      </c>
      <c r="GI74">
        <v>6.9950000000000001</v>
      </c>
      <c r="GJ74">
        <v>5.681</v>
      </c>
      <c r="GK74">
        <v>2.9990000000000001</v>
      </c>
      <c r="GL74">
        <v>-4.234</v>
      </c>
      <c r="GM74">
        <v>0.84599999999999997</v>
      </c>
      <c r="GN74">
        <v>6.1619999999999999</v>
      </c>
      <c r="GO74">
        <v>2.1309999999999998</v>
      </c>
      <c r="GP74">
        <v>2.6520000000000001</v>
      </c>
      <c r="GQ74">
        <v>0.441</v>
      </c>
      <c r="GR74">
        <v>-3.4550000000000001</v>
      </c>
      <c r="GS74">
        <v>3.552</v>
      </c>
      <c r="GT74">
        <v>3.8130000000000002</v>
      </c>
      <c r="GU74">
        <v>-8.6950000000000003</v>
      </c>
      <c r="GV74">
        <v>4.2869999999999999</v>
      </c>
      <c r="GW74">
        <v>6.15</v>
      </c>
      <c r="GX74">
        <v>3.7490000000000001</v>
      </c>
      <c r="GY74">
        <v>3.84</v>
      </c>
      <c r="GZ74">
        <v>3.8079999999999998</v>
      </c>
      <c r="HA74">
        <v>1.117</v>
      </c>
      <c r="HB74">
        <v>-5.35</v>
      </c>
      <c r="HC74">
        <v>-6.8780000000000001</v>
      </c>
      <c r="HD74">
        <v>2.9039999999999999</v>
      </c>
      <c r="HE74">
        <v>2.8969999999999998</v>
      </c>
      <c r="HF74">
        <v>-4.4219999999999997</v>
      </c>
      <c r="HG74">
        <v>3.7610000000000001</v>
      </c>
      <c r="HH74">
        <v>-0.73299999999999998</v>
      </c>
      <c r="HI74">
        <v>0.81200000000000006</v>
      </c>
      <c r="HJ74">
        <v>1.486</v>
      </c>
      <c r="HK74">
        <v>5.7949999999999999</v>
      </c>
      <c r="HL74">
        <v>6.1589999999999998</v>
      </c>
      <c r="HM74">
        <v>-3.8730000000000002</v>
      </c>
      <c r="HN74">
        <v>3.3540000000000001</v>
      </c>
      <c r="HO74">
        <v>-4.1559999999999997</v>
      </c>
      <c r="HP74">
        <v>3.464</v>
      </c>
      <c r="HQ74">
        <v>2.4649999999999999</v>
      </c>
      <c r="HR74">
        <v>-3.1459999999999999</v>
      </c>
      <c r="HS74">
        <v>-4.165</v>
      </c>
      <c r="HT74">
        <v>0.224</v>
      </c>
      <c r="HU74">
        <v>2.948</v>
      </c>
      <c r="HV74">
        <v>0.9</v>
      </c>
      <c r="HW74">
        <v>3.41</v>
      </c>
      <c r="HX74">
        <v>3.5449999999999999</v>
      </c>
      <c r="HY74">
        <v>6.2779999999999996</v>
      </c>
      <c r="HZ74">
        <v>2.8119999999999998</v>
      </c>
      <c r="IA74">
        <v>3.1760000000000002</v>
      </c>
      <c r="IB74">
        <v>2.7570000000000001</v>
      </c>
      <c r="IC74">
        <v>1.6060000000000001</v>
      </c>
      <c r="ID74">
        <v>-1.1359999999999999</v>
      </c>
      <c r="IE74">
        <v>4.4409999999999998</v>
      </c>
      <c r="IF74">
        <v>4.6619999999999999</v>
      </c>
      <c r="IG74">
        <v>5.9009999999999998</v>
      </c>
      <c r="IH74">
        <v>-5.2999999999999999E-2</v>
      </c>
      <c r="II74">
        <v>5.4589999999999996</v>
      </c>
      <c r="IJ74">
        <v>3.2789999999999999</v>
      </c>
      <c r="IK74">
        <v>2.6320000000000001</v>
      </c>
      <c r="IL74">
        <v>6.9829999999999997</v>
      </c>
      <c r="IM74">
        <v>3.0939999999999999</v>
      </c>
      <c r="IN74">
        <v>4.0389999999999997</v>
      </c>
      <c r="IO74">
        <v>4.0579999999999998</v>
      </c>
      <c r="IP74">
        <v>3.5670000000000002</v>
      </c>
      <c r="IQ74">
        <v>-5.39</v>
      </c>
      <c r="IR74">
        <v>1.3009999999999999</v>
      </c>
      <c r="IS74">
        <v>3.0489999999999999</v>
      </c>
      <c r="IT74">
        <v>3.3039999999999998</v>
      </c>
      <c r="IU74">
        <v>4.2409999999999997</v>
      </c>
      <c r="IV74">
        <v>2.8439999999999999</v>
      </c>
      <c r="IW74">
        <v>-2.3639999999999999</v>
      </c>
      <c r="IX74">
        <v>3.4340000000000002</v>
      </c>
      <c r="IY74">
        <v>3.2949999999999999</v>
      </c>
      <c r="IZ74">
        <v>2.464</v>
      </c>
      <c r="JA74">
        <v>3.2709999999999999</v>
      </c>
      <c r="JB74">
        <v>3.218</v>
      </c>
      <c r="JC74">
        <v>3.956</v>
      </c>
      <c r="JD74">
        <v>2.992</v>
      </c>
      <c r="JE74">
        <v>-1.0129999999999999</v>
      </c>
      <c r="JF74">
        <v>3.0939999999999999</v>
      </c>
      <c r="JG74">
        <v>5.3739999999999997</v>
      </c>
      <c r="JH74">
        <v>3.0030000000000001</v>
      </c>
      <c r="JI74">
        <v>-6.3630000000000004</v>
      </c>
      <c r="JJ74">
        <v>3.4340000000000002</v>
      </c>
      <c r="JK74">
        <v>-4.67</v>
      </c>
      <c r="JL74">
        <v>2.5659999999999998</v>
      </c>
      <c r="JM74">
        <v>5.45</v>
      </c>
      <c r="JN74">
        <v>3.09</v>
      </c>
      <c r="JO74">
        <v>3.1579999999999999</v>
      </c>
      <c r="JP74">
        <v>-3.4809999999999999</v>
      </c>
      <c r="JQ74">
        <v>4.1020000000000003</v>
      </c>
      <c r="JR74">
        <v>3.6760000000000002</v>
      </c>
      <c r="JS74">
        <v>5.05</v>
      </c>
      <c r="JT74">
        <v>2.15</v>
      </c>
      <c r="JU74">
        <v>3.9380000000000002</v>
      </c>
      <c r="JV74">
        <v>2.738</v>
      </c>
      <c r="JW74">
        <v>6.7220000000000004</v>
      </c>
      <c r="JX74">
        <v>2.7120000000000002</v>
      </c>
      <c r="JY74">
        <v>-3.1629999999999998</v>
      </c>
      <c r="JZ74">
        <v>-5.0759999999999996</v>
      </c>
      <c r="KA74">
        <v>1.131</v>
      </c>
      <c r="KB74">
        <v>3.2440000000000002</v>
      </c>
      <c r="KC74">
        <v>3.1179999999999999</v>
      </c>
      <c r="KD74">
        <v>4.1100000000000003</v>
      </c>
      <c r="KE74">
        <v>-1.998</v>
      </c>
      <c r="KF74">
        <v>-7.2210000000000001</v>
      </c>
      <c r="KG74">
        <v>5.6689999999999996</v>
      </c>
      <c r="KH74">
        <v>5.4320000000000004</v>
      </c>
      <c r="KI74">
        <v>3.302</v>
      </c>
      <c r="KJ74">
        <v>1.9930000000000001</v>
      </c>
      <c r="KK74">
        <v>4.8570000000000002</v>
      </c>
      <c r="KL74">
        <v>-1.7929999999999999</v>
      </c>
      <c r="KM74">
        <v>-3.6019999999999999</v>
      </c>
      <c r="KN74">
        <v>3.5640000000000001</v>
      </c>
      <c r="KO74">
        <v>2.879</v>
      </c>
      <c r="KP74">
        <v>-0.97699999999999998</v>
      </c>
      <c r="KQ74">
        <v>-7.6289999999999996</v>
      </c>
      <c r="KR74">
        <v>-6.952</v>
      </c>
    </row>
    <row r="75" spans="1:304" x14ac:dyDescent="0.25">
      <c r="A75">
        <v>2019</v>
      </c>
      <c r="B75">
        <v>12</v>
      </c>
      <c r="C75">
        <v>-5.0510000000000002</v>
      </c>
      <c r="D75">
        <v>2.625</v>
      </c>
      <c r="E75">
        <v>3.5880000000000001</v>
      </c>
      <c r="F75">
        <v>3.044</v>
      </c>
      <c r="G75">
        <v>2.5569999999999999</v>
      </c>
      <c r="H75">
        <v>1.839</v>
      </c>
      <c r="I75">
        <v>-5.7309999999999999</v>
      </c>
      <c r="J75">
        <v>-5.2169999999999996</v>
      </c>
      <c r="K75">
        <v>0.60099999999999998</v>
      </c>
      <c r="L75">
        <v>2.1539999999999999</v>
      </c>
      <c r="M75">
        <v>0.41099999999999998</v>
      </c>
      <c r="N75">
        <v>1.899</v>
      </c>
      <c r="O75">
        <v>-3.2509999999999999</v>
      </c>
      <c r="P75">
        <v>4.2539999999999996</v>
      </c>
      <c r="Q75">
        <v>-4.8159999999999998</v>
      </c>
      <c r="R75">
        <v>2.823</v>
      </c>
      <c r="S75">
        <v>-1.1919999999999999</v>
      </c>
      <c r="T75">
        <v>3.972</v>
      </c>
      <c r="U75">
        <v>-0.35399999999999998</v>
      </c>
      <c r="V75">
        <v>2.379</v>
      </c>
      <c r="W75">
        <v>2.3220000000000001</v>
      </c>
      <c r="X75">
        <v>3.3759999999999999</v>
      </c>
      <c r="Y75">
        <v>4.0170000000000003</v>
      </c>
      <c r="Z75">
        <v>-3.75</v>
      </c>
      <c r="AA75">
        <v>4.8550000000000004</v>
      </c>
      <c r="AB75">
        <v>4.3540000000000001</v>
      </c>
      <c r="AC75">
        <v>-0.71399999999999997</v>
      </c>
      <c r="AD75">
        <v>1.921</v>
      </c>
      <c r="AE75">
        <v>2.633</v>
      </c>
      <c r="AF75">
        <v>1.288</v>
      </c>
      <c r="AG75">
        <v>-1.4690000000000001</v>
      </c>
      <c r="AH75">
        <v>-3.972</v>
      </c>
      <c r="AI75">
        <v>-1.8919999999999999</v>
      </c>
      <c r="AJ75">
        <v>1.91</v>
      </c>
      <c r="AK75">
        <v>2.6829999999999998</v>
      </c>
      <c r="AL75">
        <v>1.7849999999999999</v>
      </c>
      <c r="AM75">
        <v>1.9350000000000001</v>
      </c>
      <c r="AN75">
        <v>4.149</v>
      </c>
      <c r="AO75">
        <v>2.6560000000000001</v>
      </c>
      <c r="AP75">
        <v>0.47499999999999998</v>
      </c>
      <c r="AQ75">
        <v>4.569</v>
      </c>
      <c r="AR75">
        <v>2.1739999999999999</v>
      </c>
      <c r="AS75">
        <v>5.5330000000000004</v>
      </c>
      <c r="AT75">
        <v>-0.38700000000000001</v>
      </c>
      <c r="AU75">
        <v>0.34100000000000003</v>
      </c>
      <c r="AV75">
        <v>1.0329999999999999</v>
      </c>
      <c r="AW75">
        <v>2.16</v>
      </c>
      <c r="AX75">
        <v>1.9910000000000001</v>
      </c>
      <c r="AY75">
        <v>1.1220000000000001</v>
      </c>
      <c r="AZ75">
        <v>-3.8650000000000002</v>
      </c>
      <c r="BA75">
        <v>2.44</v>
      </c>
      <c r="BB75">
        <v>-3.024</v>
      </c>
      <c r="BC75">
        <v>-0.92400000000000004</v>
      </c>
      <c r="BD75">
        <v>2.5190000000000001</v>
      </c>
      <c r="BE75">
        <v>2.2200000000000002</v>
      </c>
      <c r="BF75">
        <v>2.843</v>
      </c>
      <c r="BG75">
        <v>-4.7569999999999997</v>
      </c>
      <c r="BH75">
        <v>-6.4829999999999997</v>
      </c>
      <c r="BI75">
        <v>0.82599999999999996</v>
      </c>
      <c r="BJ75">
        <v>4.2140000000000004</v>
      </c>
      <c r="BK75">
        <v>2.702</v>
      </c>
      <c r="BL75">
        <v>2.2559999999999998</v>
      </c>
      <c r="BM75">
        <v>-0.627</v>
      </c>
      <c r="BN75">
        <v>2.0099999999999998</v>
      </c>
      <c r="BO75">
        <v>1.24</v>
      </c>
      <c r="BP75">
        <v>4.3769999999999998</v>
      </c>
      <c r="BQ75">
        <v>-3.202</v>
      </c>
      <c r="BR75">
        <v>2.6480000000000001</v>
      </c>
      <c r="BS75">
        <v>2.4260000000000002</v>
      </c>
      <c r="BT75">
        <v>-2.661</v>
      </c>
      <c r="BU75">
        <v>-4.5540000000000003</v>
      </c>
      <c r="BV75">
        <v>6.9000000000000006E-2</v>
      </c>
      <c r="BW75">
        <v>4.617</v>
      </c>
      <c r="BX75">
        <v>-3.9</v>
      </c>
      <c r="BY75">
        <v>4.1260000000000003</v>
      </c>
      <c r="BZ75">
        <v>2.4470000000000001</v>
      </c>
      <c r="CA75">
        <v>3.4289999999999998</v>
      </c>
      <c r="CB75">
        <v>-0.23899999999999999</v>
      </c>
      <c r="CC75">
        <v>2.339</v>
      </c>
      <c r="CD75">
        <v>2.4500000000000002</v>
      </c>
      <c r="CE75">
        <v>-0.11899999999999999</v>
      </c>
      <c r="CF75">
        <v>2.44</v>
      </c>
      <c r="CG75">
        <v>2.9889999999999999</v>
      </c>
      <c r="CH75">
        <v>0.26100000000000001</v>
      </c>
      <c r="CI75">
        <v>-0.27200000000000002</v>
      </c>
      <c r="CJ75">
        <v>3.6579999999999999</v>
      </c>
      <c r="CK75">
        <v>3.3620000000000001</v>
      </c>
      <c r="CL75">
        <v>4.8769999999999998</v>
      </c>
      <c r="CM75">
        <v>2.78</v>
      </c>
      <c r="CN75">
        <v>3.6419999999999999</v>
      </c>
      <c r="CO75">
        <v>3.6850000000000001</v>
      </c>
      <c r="CP75">
        <v>-6.6950000000000003</v>
      </c>
      <c r="CQ75">
        <v>-3.7269999999999999</v>
      </c>
      <c r="CR75">
        <v>2.641</v>
      </c>
      <c r="CS75">
        <v>2.5099999999999998</v>
      </c>
      <c r="CT75">
        <v>-3.8380000000000001</v>
      </c>
      <c r="CU75">
        <v>3.7109999999999999</v>
      </c>
      <c r="CV75">
        <v>-7.6609999999999996</v>
      </c>
      <c r="CW75">
        <v>3.2909999999999999</v>
      </c>
      <c r="CX75">
        <v>3.7610000000000001</v>
      </c>
      <c r="CY75">
        <v>1.0369999999999999</v>
      </c>
      <c r="CZ75">
        <v>4.2409999999999997</v>
      </c>
      <c r="DA75">
        <v>2.1280000000000001</v>
      </c>
      <c r="DB75">
        <v>2.0670000000000002</v>
      </c>
      <c r="DC75">
        <v>1.161</v>
      </c>
      <c r="DD75">
        <v>3.1</v>
      </c>
      <c r="DE75">
        <v>-6.3849999999999998</v>
      </c>
      <c r="DF75">
        <v>2.3149999999999999</v>
      </c>
      <c r="DG75">
        <v>3.8959999999999999</v>
      </c>
      <c r="DH75">
        <v>1.7649999999999999</v>
      </c>
      <c r="DI75">
        <v>-0.1</v>
      </c>
      <c r="DJ75">
        <v>-1.716</v>
      </c>
      <c r="DK75">
        <v>4.056</v>
      </c>
      <c r="DL75">
        <v>1.728</v>
      </c>
      <c r="DM75">
        <v>2.0049999999999999</v>
      </c>
      <c r="DN75">
        <v>4.1950000000000003</v>
      </c>
      <c r="DO75">
        <v>1.8520000000000001</v>
      </c>
      <c r="DP75">
        <v>3.8</v>
      </c>
      <c r="DQ75">
        <v>-6.8390000000000004</v>
      </c>
      <c r="DR75">
        <v>4.601</v>
      </c>
      <c r="DS75">
        <v>1.5209999999999999</v>
      </c>
      <c r="DT75">
        <v>4.0730000000000004</v>
      </c>
      <c r="DU75">
        <v>4.883</v>
      </c>
      <c r="DV75">
        <v>1.9690000000000001</v>
      </c>
      <c r="DW75">
        <v>1.8009999999999999</v>
      </c>
      <c r="DX75">
        <v>-0.98499999999999999</v>
      </c>
      <c r="DY75">
        <v>3.339</v>
      </c>
      <c r="DZ75">
        <v>2.48</v>
      </c>
      <c r="EA75">
        <v>2.6469999999999998</v>
      </c>
      <c r="EB75">
        <v>2.9369999999999998</v>
      </c>
      <c r="EC75">
        <v>3.0379999999999998</v>
      </c>
      <c r="ED75">
        <v>0.78900000000000003</v>
      </c>
      <c r="EE75">
        <v>2.86</v>
      </c>
      <c r="EF75">
        <v>2.782</v>
      </c>
      <c r="EG75">
        <v>-2.4689999999999999</v>
      </c>
      <c r="EH75">
        <v>4.8719999999999999</v>
      </c>
      <c r="EI75">
        <v>-5.3999999999999999E-2</v>
      </c>
      <c r="EJ75">
        <v>-3.1589999999999998</v>
      </c>
      <c r="EK75">
        <v>4.5339999999999998</v>
      </c>
      <c r="EL75">
        <v>-4.452</v>
      </c>
      <c r="EM75">
        <v>4.0049999999999999</v>
      </c>
      <c r="EN75">
        <v>2.4620000000000002</v>
      </c>
      <c r="EO75">
        <v>4.9619999999999997</v>
      </c>
      <c r="EP75">
        <v>-2.258</v>
      </c>
      <c r="EQ75">
        <v>-5.133</v>
      </c>
      <c r="ER75">
        <v>3.113</v>
      </c>
      <c r="ES75">
        <v>3.113</v>
      </c>
      <c r="ET75">
        <v>3.077</v>
      </c>
      <c r="EU75">
        <v>2.7730000000000001</v>
      </c>
      <c r="EV75">
        <v>-1.2969999999999999</v>
      </c>
      <c r="EW75">
        <v>2.839</v>
      </c>
      <c r="EX75">
        <v>2.855</v>
      </c>
      <c r="EY75">
        <v>8.6999999999999994E-2</v>
      </c>
      <c r="EZ75">
        <v>1.5549999999999999</v>
      </c>
      <c r="FA75">
        <v>3.931</v>
      </c>
      <c r="FB75">
        <v>3.5129999999999999</v>
      </c>
      <c r="FC75">
        <v>3.9449999999999998</v>
      </c>
      <c r="FD75">
        <v>2.6760000000000002</v>
      </c>
      <c r="FE75">
        <v>0.89300000000000002</v>
      </c>
      <c r="FF75">
        <v>0.41199999999999998</v>
      </c>
      <c r="FG75">
        <v>-0.91700000000000004</v>
      </c>
      <c r="FH75">
        <v>-1.7090000000000001</v>
      </c>
      <c r="FI75">
        <v>2.5609999999999999</v>
      </c>
      <c r="FJ75">
        <v>1.9550000000000001</v>
      </c>
      <c r="FK75">
        <v>-4.7220000000000004</v>
      </c>
      <c r="FL75">
        <v>2.972</v>
      </c>
      <c r="FM75">
        <v>2.2330000000000001</v>
      </c>
      <c r="FN75">
        <v>2.528</v>
      </c>
      <c r="FO75">
        <v>3.12</v>
      </c>
      <c r="FP75">
        <v>1.7190000000000001</v>
      </c>
      <c r="FQ75">
        <v>-0.188</v>
      </c>
      <c r="FR75">
        <v>3.2360000000000002</v>
      </c>
      <c r="FS75">
        <v>-1.7729999999999999</v>
      </c>
      <c r="FT75">
        <v>3.5230000000000001</v>
      </c>
      <c r="FU75">
        <v>3.06</v>
      </c>
      <c r="FV75">
        <v>2.903</v>
      </c>
      <c r="FW75">
        <v>3.0230000000000001</v>
      </c>
      <c r="FX75">
        <v>-6.0880000000000001</v>
      </c>
      <c r="FY75">
        <v>3.669</v>
      </c>
      <c r="FZ75">
        <v>-3.2909999999999999</v>
      </c>
      <c r="GA75">
        <v>-5.05</v>
      </c>
      <c r="GB75">
        <v>-2.1459999999999999</v>
      </c>
      <c r="GC75">
        <v>3.9369999999999998</v>
      </c>
      <c r="GD75">
        <v>-1.196</v>
      </c>
      <c r="GE75">
        <v>0.78200000000000003</v>
      </c>
      <c r="GF75">
        <v>2.4340000000000002</v>
      </c>
      <c r="GG75">
        <v>0.31</v>
      </c>
      <c r="GH75">
        <v>2.0640000000000001</v>
      </c>
      <c r="GI75">
        <v>5.0350000000000001</v>
      </c>
      <c r="GJ75">
        <v>3.891</v>
      </c>
      <c r="GK75">
        <v>2.5329999999999999</v>
      </c>
      <c r="GL75">
        <v>-2.7360000000000002</v>
      </c>
      <c r="GM75">
        <v>0.48799999999999999</v>
      </c>
      <c r="GN75">
        <v>4.3140000000000001</v>
      </c>
      <c r="GO75">
        <v>1.1850000000000001</v>
      </c>
      <c r="GP75">
        <v>2.33</v>
      </c>
      <c r="GQ75">
        <v>0.11</v>
      </c>
      <c r="GR75">
        <v>-3.1890000000000001</v>
      </c>
      <c r="GS75">
        <v>2.5430000000000001</v>
      </c>
      <c r="GT75">
        <v>2.7040000000000002</v>
      </c>
      <c r="GU75">
        <v>-5.7160000000000002</v>
      </c>
      <c r="GV75">
        <v>4.508</v>
      </c>
      <c r="GW75">
        <v>4.4800000000000004</v>
      </c>
      <c r="GX75">
        <v>3.5619999999999998</v>
      </c>
      <c r="GY75">
        <v>2.6379999999999999</v>
      </c>
      <c r="GZ75">
        <v>2.71</v>
      </c>
      <c r="HA75">
        <v>0.71499999999999997</v>
      </c>
      <c r="HB75">
        <v>-3.0270000000000001</v>
      </c>
      <c r="HC75">
        <v>-4.8029999999999999</v>
      </c>
      <c r="HD75">
        <v>2.0430000000000001</v>
      </c>
      <c r="HE75">
        <v>3.1920000000000002</v>
      </c>
      <c r="HF75">
        <v>-3.0339999999999998</v>
      </c>
      <c r="HG75">
        <v>2.6840000000000002</v>
      </c>
      <c r="HH75">
        <v>-1.03</v>
      </c>
      <c r="HI75">
        <v>0.223</v>
      </c>
      <c r="HJ75">
        <v>0.99</v>
      </c>
      <c r="HK75">
        <v>4.266</v>
      </c>
      <c r="HL75">
        <v>4.391</v>
      </c>
      <c r="HM75">
        <v>-3.8740000000000001</v>
      </c>
      <c r="HN75">
        <v>2.5299999999999998</v>
      </c>
      <c r="HO75">
        <v>-3.823</v>
      </c>
      <c r="HP75">
        <v>3.165</v>
      </c>
      <c r="HQ75">
        <v>2.2389999999999999</v>
      </c>
      <c r="HR75">
        <v>-3.2989999999999999</v>
      </c>
      <c r="HS75">
        <v>-5.3129999999999997</v>
      </c>
      <c r="HT75">
        <v>-0.152</v>
      </c>
      <c r="HU75">
        <v>1.95</v>
      </c>
      <c r="HV75">
        <v>0.45100000000000001</v>
      </c>
      <c r="HW75">
        <v>2.6829999999999998</v>
      </c>
      <c r="HX75">
        <v>2.3079999999999998</v>
      </c>
      <c r="HY75">
        <v>4.2380000000000004</v>
      </c>
      <c r="HZ75">
        <v>3.0329999999999999</v>
      </c>
      <c r="IA75">
        <v>2.6840000000000002</v>
      </c>
      <c r="IB75">
        <v>2.2770000000000001</v>
      </c>
      <c r="IC75">
        <v>0.81399999999999995</v>
      </c>
      <c r="ID75">
        <v>-1.6359999999999999</v>
      </c>
      <c r="IE75">
        <v>2.8410000000000002</v>
      </c>
      <c r="IF75">
        <v>4.5529999999999999</v>
      </c>
      <c r="IG75">
        <v>4.0789999999999997</v>
      </c>
      <c r="IH75">
        <v>-0.77500000000000002</v>
      </c>
      <c r="II75">
        <v>3.601</v>
      </c>
      <c r="IJ75">
        <v>2.3780000000000001</v>
      </c>
      <c r="IK75">
        <v>2.3740000000000001</v>
      </c>
      <c r="IL75">
        <v>5.1189999999999998</v>
      </c>
      <c r="IM75">
        <v>2.8109999999999999</v>
      </c>
      <c r="IN75">
        <v>2.7210000000000001</v>
      </c>
      <c r="IO75">
        <v>2.6360000000000001</v>
      </c>
      <c r="IP75">
        <v>2.5139999999999998</v>
      </c>
      <c r="IQ75">
        <v>-4.4530000000000003</v>
      </c>
      <c r="IR75">
        <v>0.69299999999999995</v>
      </c>
      <c r="IS75">
        <v>2.5470000000000002</v>
      </c>
      <c r="IT75">
        <v>3.141</v>
      </c>
      <c r="IU75">
        <v>3.319</v>
      </c>
      <c r="IV75">
        <v>2.1190000000000002</v>
      </c>
      <c r="IW75">
        <v>-1.8879999999999999</v>
      </c>
      <c r="IX75">
        <v>2.3839999999999999</v>
      </c>
      <c r="IY75">
        <v>2.3090000000000002</v>
      </c>
      <c r="IZ75">
        <v>1.5940000000000001</v>
      </c>
      <c r="JA75">
        <v>3.27</v>
      </c>
      <c r="JB75">
        <v>2.2120000000000002</v>
      </c>
      <c r="JC75">
        <v>2.8050000000000002</v>
      </c>
      <c r="JD75">
        <v>1.9339999999999999</v>
      </c>
      <c r="JE75">
        <v>-1.4</v>
      </c>
      <c r="JF75">
        <v>2.71</v>
      </c>
      <c r="JG75">
        <v>4.6189999999999998</v>
      </c>
      <c r="JH75">
        <v>2.056</v>
      </c>
      <c r="JI75">
        <v>-4.532</v>
      </c>
      <c r="JJ75">
        <v>2.3730000000000002</v>
      </c>
      <c r="JK75">
        <v>-4.0750000000000002</v>
      </c>
      <c r="JL75">
        <v>2.0790000000000002</v>
      </c>
      <c r="JM75">
        <v>4.1269999999999998</v>
      </c>
      <c r="JN75">
        <v>2.5630000000000002</v>
      </c>
      <c r="JO75">
        <v>2.827</v>
      </c>
      <c r="JP75">
        <v>-2.8719999999999999</v>
      </c>
      <c r="JQ75">
        <v>2.6579999999999999</v>
      </c>
      <c r="JR75">
        <v>2.6230000000000002</v>
      </c>
      <c r="JS75">
        <v>3.4710000000000001</v>
      </c>
      <c r="JT75">
        <v>1.607</v>
      </c>
      <c r="JU75">
        <v>2.4750000000000001</v>
      </c>
      <c r="JV75">
        <v>2.1579999999999999</v>
      </c>
      <c r="JW75">
        <v>4.9009999999999998</v>
      </c>
      <c r="JX75">
        <v>2.544</v>
      </c>
      <c r="JY75">
        <v>-3.847</v>
      </c>
      <c r="JZ75">
        <v>-2.9169999999999998</v>
      </c>
      <c r="KA75">
        <v>1.113</v>
      </c>
      <c r="KB75">
        <v>2.0539999999999998</v>
      </c>
      <c r="KC75">
        <v>2.524</v>
      </c>
      <c r="KD75">
        <v>2.7189999999999999</v>
      </c>
      <c r="KE75">
        <v>-2.831</v>
      </c>
      <c r="KF75">
        <v>-5.0140000000000002</v>
      </c>
      <c r="KG75">
        <v>4.2640000000000002</v>
      </c>
      <c r="KH75">
        <v>5.0410000000000004</v>
      </c>
      <c r="KI75">
        <v>3.3170000000000002</v>
      </c>
      <c r="KJ75">
        <v>1.82</v>
      </c>
      <c r="KK75">
        <v>3.4529999999999998</v>
      </c>
      <c r="KL75">
        <v>-1.385</v>
      </c>
      <c r="KM75">
        <v>-2.5030000000000001</v>
      </c>
      <c r="KN75">
        <v>2.3559999999999999</v>
      </c>
      <c r="KO75">
        <v>1.36</v>
      </c>
      <c r="KP75">
        <v>-1.722</v>
      </c>
      <c r="KQ75">
        <v>-5.5259999999999998</v>
      </c>
      <c r="KR75">
        <v>-4.6580000000000004</v>
      </c>
    </row>
    <row r="76" spans="1:304" x14ac:dyDescent="0.25">
      <c r="A76">
        <v>2020</v>
      </c>
      <c r="B76">
        <v>1</v>
      </c>
      <c r="C76">
        <v>-5.8460000000000001</v>
      </c>
      <c r="D76">
        <v>3.9529999999999998</v>
      </c>
      <c r="E76">
        <v>4.8319999999999999</v>
      </c>
      <c r="F76">
        <v>4.2069999999999999</v>
      </c>
      <c r="G76">
        <v>3.5630000000000002</v>
      </c>
      <c r="H76">
        <v>3.8519999999999999</v>
      </c>
      <c r="I76">
        <v>-4.9660000000000002</v>
      </c>
      <c r="J76">
        <v>-4.5730000000000004</v>
      </c>
      <c r="K76">
        <v>2.8220000000000001</v>
      </c>
      <c r="L76">
        <v>3.718</v>
      </c>
      <c r="M76">
        <v>2.786</v>
      </c>
      <c r="N76">
        <v>3.8210000000000002</v>
      </c>
      <c r="O76">
        <v>-1.667</v>
      </c>
      <c r="P76">
        <v>4.9509999999999996</v>
      </c>
      <c r="Q76">
        <v>-4.5</v>
      </c>
      <c r="R76">
        <v>3.86</v>
      </c>
      <c r="S76">
        <v>1.7689999999999999</v>
      </c>
      <c r="T76">
        <v>4.5039999999999996</v>
      </c>
      <c r="U76">
        <v>2.2309999999999999</v>
      </c>
      <c r="V76">
        <v>3.37</v>
      </c>
      <c r="W76">
        <v>3.5670000000000002</v>
      </c>
      <c r="X76">
        <v>4.2919999999999998</v>
      </c>
      <c r="Y76">
        <v>4.7469999999999999</v>
      </c>
      <c r="Z76">
        <v>-0.625</v>
      </c>
      <c r="AA76">
        <v>5.2279999999999998</v>
      </c>
      <c r="AB76">
        <v>5.0220000000000002</v>
      </c>
      <c r="AC76">
        <v>2.1080000000000001</v>
      </c>
      <c r="AD76">
        <v>3.7679999999999998</v>
      </c>
      <c r="AE76">
        <v>3.984</v>
      </c>
      <c r="AF76">
        <v>3.137</v>
      </c>
      <c r="AG76">
        <v>1.472</v>
      </c>
      <c r="AH76">
        <v>-2.379</v>
      </c>
      <c r="AI76">
        <v>1.472</v>
      </c>
      <c r="AJ76">
        <v>2.8610000000000002</v>
      </c>
      <c r="AK76">
        <v>3.629</v>
      </c>
      <c r="AL76">
        <v>3.5659999999999998</v>
      </c>
      <c r="AM76">
        <v>3.8079999999999998</v>
      </c>
      <c r="AN76">
        <v>4.718</v>
      </c>
      <c r="AO76">
        <v>4.1130000000000004</v>
      </c>
      <c r="AP76">
        <v>2.8490000000000002</v>
      </c>
      <c r="AQ76">
        <v>5.234</v>
      </c>
      <c r="AR76">
        <v>3.3410000000000002</v>
      </c>
      <c r="AS76">
        <v>5.3639999999999999</v>
      </c>
      <c r="AT76">
        <v>2.1070000000000002</v>
      </c>
      <c r="AU76">
        <v>2.258</v>
      </c>
      <c r="AV76">
        <v>2.89</v>
      </c>
      <c r="AW76">
        <v>3.7930000000000001</v>
      </c>
      <c r="AX76">
        <v>3.605</v>
      </c>
      <c r="AY76">
        <v>3.105</v>
      </c>
      <c r="AZ76">
        <v>-2.2789999999999999</v>
      </c>
      <c r="BA76">
        <v>4.1180000000000003</v>
      </c>
      <c r="BB76">
        <v>-1.8620000000000001</v>
      </c>
      <c r="BC76">
        <v>1.653</v>
      </c>
      <c r="BD76">
        <v>3.452</v>
      </c>
      <c r="BE76">
        <v>3.6789999999999998</v>
      </c>
      <c r="BF76">
        <v>4.3410000000000002</v>
      </c>
      <c r="BG76">
        <v>-3.34</v>
      </c>
      <c r="BH76">
        <v>-7.843</v>
      </c>
      <c r="BI76">
        <v>3.0569999999999999</v>
      </c>
      <c r="BJ76">
        <v>5.1760000000000002</v>
      </c>
      <c r="BK76">
        <v>4.0679999999999996</v>
      </c>
      <c r="BL76">
        <v>3.6890000000000001</v>
      </c>
      <c r="BM76">
        <v>1.81</v>
      </c>
      <c r="BN76">
        <v>3.8319999999999999</v>
      </c>
      <c r="BO76">
        <v>3.2519999999999998</v>
      </c>
      <c r="BP76">
        <v>5.0789999999999997</v>
      </c>
      <c r="BQ76">
        <v>-0.55300000000000005</v>
      </c>
      <c r="BR76">
        <v>4.0129999999999999</v>
      </c>
      <c r="BS76">
        <v>3.5329999999999999</v>
      </c>
      <c r="BT76">
        <v>-4.2240000000000002</v>
      </c>
      <c r="BU76">
        <v>-1.3939999999999999</v>
      </c>
      <c r="BV76">
        <v>2.5819999999999999</v>
      </c>
      <c r="BW76">
        <v>5.1760000000000002</v>
      </c>
      <c r="BX76">
        <v>-3.31</v>
      </c>
      <c r="BY76">
        <v>4.1779999999999999</v>
      </c>
      <c r="BZ76">
        <v>3.7959999999999998</v>
      </c>
      <c r="CA76">
        <v>4.4379999999999997</v>
      </c>
      <c r="CB76">
        <v>2.145</v>
      </c>
      <c r="CC76">
        <v>3.85</v>
      </c>
      <c r="CD76">
        <v>3.653</v>
      </c>
      <c r="CE76">
        <v>2.5259999999999998</v>
      </c>
      <c r="CF76">
        <v>3.68</v>
      </c>
      <c r="CG76">
        <v>4.0410000000000004</v>
      </c>
      <c r="CH76">
        <v>2.2839999999999998</v>
      </c>
      <c r="CI76">
        <v>1.4219999999999999</v>
      </c>
      <c r="CJ76">
        <v>4.6890000000000001</v>
      </c>
      <c r="CK76">
        <v>4.2560000000000002</v>
      </c>
      <c r="CL76">
        <v>5.3239999999999998</v>
      </c>
      <c r="CM76">
        <v>3.9289999999999998</v>
      </c>
      <c r="CN76">
        <v>4.2699999999999996</v>
      </c>
      <c r="CO76">
        <v>4.3730000000000002</v>
      </c>
      <c r="CP76">
        <v>-6.1559999999999997</v>
      </c>
      <c r="CQ76">
        <v>-1.61</v>
      </c>
      <c r="CR76">
        <v>3.9460000000000002</v>
      </c>
      <c r="CS76">
        <v>3.4929999999999999</v>
      </c>
      <c r="CT76">
        <v>-4.8170000000000002</v>
      </c>
      <c r="CU76">
        <v>4.4960000000000004</v>
      </c>
      <c r="CV76">
        <v>-10.032999999999999</v>
      </c>
      <c r="CW76">
        <v>4.4240000000000004</v>
      </c>
      <c r="CX76">
        <v>4.5389999999999997</v>
      </c>
      <c r="CY76">
        <v>2.8540000000000001</v>
      </c>
      <c r="CZ76">
        <v>4.8239999999999998</v>
      </c>
      <c r="DA76">
        <v>3.7130000000000001</v>
      </c>
      <c r="DB76">
        <v>3.7519999999999998</v>
      </c>
      <c r="DC76">
        <v>3.2189999999999999</v>
      </c>
      <c r="DD76">
        <v>4.0620000000000003</v>
      </c>
      <c r="DE76">
        <v>-7.4720000000000004</v>
      </c>
      <c r="DF76">
        <v>3.577</v>
      </c>
      <c r="DG76">
        <v>4.6900000000000004</v>
      </c>
      <c r="DH76">
        <v>3.38</v>
      </c>
      <c r="DI76">
        <v>1.9530000000000001</v>
      </c>
      <c r="DJ76">
        <v>0.29399999999999998</v>
      </c>
      <c r="DK76">
        <v>4.8630000000000004</v>
      </c>
      <c r="DL76">
        <v>3.31</v>
      </c>
      <c r="DM76">
        <v>3.8809999999999998</v>
      </c>
      <c r="DN76">
        <v>5.0389999999999997</v>
      </c>
      <c r="DO76">
        <v>3.887</v>
      </c>
      <c r="DP76">
        <v>4.9969999999999999</v>
      </c>
      <c r="DQ76">
        <v>-6.2229999999999999</v>
      </c>
      <c r="DR76">
        <v>5.0629999999999997</v>
      </c>
      <c r="DS76">
        <v>3.5979999999999999</v>
      </c>
      <c r="DT76">
        <v>4.9340000000000002</v>
      </c>
      <c r="DU76">
        <v>5.2690000000000001</v>
      </c>
      <c r="DV76">
        <v>3.6840000000000002</v>
      </c>
      <c r="DW76">
        <v>3.7040000000000002</v>
      </c>
      <c r="DX76">
        <v>1.7370000000000001</v>
      </c>
      <c r="DY76">
        <v>4.4080000000000004</v>
      </c>
      <c r="DZ76">
        <v>3.4</v>
      </c>
      <c r="EA76">
        <v>3.9660000000000002</v>
      </c>
      <c r="EB76">
        <v>4.306</v>
      </c>
      <c r="EC76">
        <v>4.4809999999999999</v>
      </c>
      <c r="ED76">
        <v>2.9039999999999999</v>
      </c>
      <c r="EE76">
        <v>4.3029999999999999</v>
      </c>
      <c r="EF76">
        <v>3.819</v>
      </c>
      <c r="EG76">
        <v>0.78300000000000003</v>
      </c>
      <c r="EH76">
        <v>5.2469999999999999</v>
      </c>
      <c r="EI76">
        <v>2.262</v>
      </c>
      <c r="EJ76">
        <v>-3.004</v>
      </c>
      <c r="EK76">
        <v>4.9950000000000001</v>
      </c>
      <c r="EL76">
        <v>-2.5129999999999999</v>
      </c>
      <c r="EM76">
        <v>5.3570000000000002</v>
      </c>
      <c r="EN76">
        <v>3.6120000000000001</v>
      </c>
      <c r="EO76">
        <v>5.2770000000000001</v>
      </c>
      <c r="EP76">
        <v>0.83799999999999997</v>
      </c>
      <c r="EQ76">
        <v>-4.0380000000000003</v>
      </c>
      <c r="ER76">
        <v>4.5679999999999996</v>
      </c>
      <c r="ES76">
        <v>4.0940000000000003</v>
      </c>
      <c r="ET76">
        <v>4.4889999999999999</v>
      </c>
      <c r="EU76">
        <v>4.1890000000000001</v>
      </c>
      <c r="EV76">
        <v>1.6220000000000001</v>
      </c>
      <c r="EW76">
        <v>4.0599999999999996</v>
      </c>
      <c r="EX76">
        <v>4.5149999999999997</v>
      </c>
      <c r="EY76">
        <v>2.31</v>
      </c>
      <c r="EZ76">
        <v>3.2839999999999998</v>
      </c>
      <c r="FA76">
        <v>4.9329999999999998</v>
      </c>
      <c r="FB76">
        <v>4.4480000000000004</v>
      </c>
      <c r="FC76">
        <v>4.4729999999999999</v>
      </c>
      <c r="FD76">
        <v>3.927</v>
      </c>
      <c r="FE76">
        <v>2.9380000000000002</v>
      </c>
      <c r="FF76">
        <v>2.851</v>
      </c>
      <c r="FG76">
        <v>1.6910000000000001</v>
      </c>
      <c r="FH76">
        <v>-0.63300000000000001</v>
      </c>
      <c r="FI76">
        <v>4.0570000000000004</v>
      </c>
      <c r="FJ76">
        <v>3.3820000000000001</v>
      </c>
      <c r="FK76">
        <v>-3.4449999999999998</v>
      </c>
      <c r="FL76">
        <v>3.9910000000000001</v>
      </c>
      <c r="FM76">
        <v>3.7010000000000001</v>
      </c>
      <c r="FN76">
        <v>3.827</v>
      </c>
      <c r="FO76">
        <v>3.968</v>
      </c>
      <c r="FP76">
        <v>2.613</v>
      </c>
      <c r="FQ76">
        <v>2.4390000000000001</v>
      </c>
      <c r="FR76">
        <v>4.17</v>
      </c>
      <c r="FS76">
        <v>0.96299999999999997</v>
      </c>
      <c r="FT76">
        <v>5</v>
      </c>
      <c r="FU76">
        <v>3.99</v>
      </c>
      <c r="FV76">
        <v>3.9649999999999999</v>
      </c>
      <c r="FW76">
        <v>4.1340000000000003</v>
      </c>
      <c r="FX76">
        <v>-8.3149999999999995</v>
      </c>
      <c r="FY76">
        <v>4.7469999999999999</v>
      </c>
      <c r="FZ76">
        <v>-2.5259999999999998</v>
      </c>
      <c r="GA76">
        <v>-4.9470000000000001</v>
      </c>
      <c r="GB76">
        <v>-1.0349999999999999</v>
      </c>
      <c r="GC76">
        <v>4.5949999999999998</v>
      </c>
      <c r="GD76">
        <v>1.5409999999999999</v>
      </c>
      <c r="GE76">
        <v>2.8479999999999999</v>
      </c>
      <c r="GF76">
        <v>3.766</v>
      </c>
      <c r="GG76">
        <v>2.6629999999999998</v>
      </c>
      <c r="GH76">
        <v>3.5590000000000002</v>
      </c>
      <c r="GI76">
        <v>5.1909999999999998</v>
      </c>
      <c r="GJ76">
        <v>4.391</v>
      </c>
      <c r="GK76">
        <v>3.839</v>
      </c>
      <c r="GL76">
        <v>-1.4410000000000001</v>
      </c>
      <c r="GM76">
        <v>2.6360000000000001</v>
      </c>
      <c r="GN76">
        <v>4.6399999999999997</v>
      </c>
      <c r="GO76">
        <v>3.145</v>
      </c>
      <c r="GP76">
        <v>3.6840000000000002</v>
      </c>
      <c r="GQ76">
        <v>2.5139999999999998</v>
      </c>
      <c r="GR76">
        <v>-0.61599999999999999</v>
      </c>
      <c r="GS76">
        <v>3.9129999999999998</v>
      </c>
      <c r="GT76">
        <v>3.9929999999999999</v>
      </c>
      <c r="GU76">
        <v>-4.3159999999999998</v>
      </c>
      <c r="GV76">
        <v>5.6669999999999998</v>
      </c>
      <c r="GW76">
        <v>4.9370000000000003</v>
      </c>
      <c r="GX76">
        <v>4.8419999999999996</v>
      </c>
      <c r="GY76">
        <v>3.8879999999999999</v>
      </c>
      <c r="GZ76">
        <v>3.988</v>
      </c>
      <c r="HA76">
        <v>2.4940000000000002</v>
      </c>
      <c r="HB76">
        <v>-0.7</v>
      </c>
      <c r="HC76">
        <v>-3.7090000000000001</v>
      </c>
      <c r="HD76">
        <v>3.7909999999999999</v>
      </c>
      <c r="HE76">
        <v>4.9610000000000003</v>
      </c>
      <c r="HF76">
        <v>-1.889</v>
      </c>
      <c r="HG76">
        <v>3.9849999999999999</v>
      </c>
      <c r="HH76">
        <v>1.3080000000000001</v>
      </c>
      <c r="HI76">
        <v>2.754</v>
      </c>
      <c r="HJ76">
        <v>3.0350000000000001</v>
      </c>
      <c r="HK76">
        <v>4.8600000000000003</v>
      </c>
      <c r="HL76">
        <v>4.8230000000000004</v>
      </c>
      <c r="HM76">
        <v>-5.2999999999999999E-2</v>
      </c>
      <c r="HN76">
        <v>3.476</v>
      </c>
      <c r="HO76">
        <v>-0.42299999999999999</v>
      </c>
      <c r="HP76">
        <v>4.57</v>
      </c>
      <c r="HQ76">
        <v>3.94</v>
      </c>
      <c r="HR76">
        <v>-0.56399999999999995</v>
      </c>
      <c r="HS76">
        <v>-1.97</v>
      </c>
      <c r="HT76">
        <v>2.4489999999999998</v>
      </c>
      <c r="HU76">
        <v>2.887</v>
      </c>
      <c r="HV76">
        <v>2.8969999999999998</v>
      </c>
      <c r="HW76">
        <v>4.194</v>
      </c>
      <c r="HX76">
        <v>3.6880000000000002</v>
      </c>
      <c r="HY76">
        <v>4.8680000000000003</v>
      </c>
      <c r="HZ76">
        <v>4.76</v>
      </c>
      <c r="IA76">
        <v>4.0810000000000004</v>
      </c>
      <c r="IB76">
        <v>3.4790000000000001</v>
      </c>
      <c r="IC76">
        <v>2.8460000000000001</v>
      </c>
      <c r="ID76">
        <v>0.47399999999999998</v>
      </c>
      <c r="IE76">
        <v>3.726</v>
      </c>
      <c r="IF76">
        <v>5.4569999999999999</v>
      </c>
      <c r="IG76">
        <v>4.5199999999999996</v>
      </c>
      <c r="IH76">
        <v>2.1880000000000002</v>
      </c>
      <c r="II76">
        <v>4.3559999999999999</v>
      </c>
      <c r="IJ76">
        <v>3.3159999999999998</v>
      </c>
      <c r="IK76">
        <v>3.4929999999999999</v>
      </c>
      <c r="IL76">
        <v>5.1740000000000004</v>
      </c>
      <c r="IM76">
        <v>4.4180000000000001</v>
      </c>
      <c r="IN76">
        <v>3.8610000000000002</v>
      </c>
      <c r="IO76">
        <v>3.8</v>
      </c>
      <c r="IP76">
        <v>3.919</v>
      </c>
      <c r="IQ76">
        <v>-1.8049999999999999</v>
      </c>
      <c r="IR76">
        <v>2.786</v>
      </c>
      <c r="IS76">
        <v>4.1079999999999997</v>
      </c>
      <c r="IT76">
        <v>4.7060000000000004</v>
      </c>
      <c r="IU76">
        <v>4.2610000000000001</v>
      </c>
      <c r="IV76">
        <v>3.0720000000000001</v>
      </c>
      <c r="IW76">
        <v>-0.628</v>
      </c>
      <c r="IX76">
        <v>3.7349999999999999</v>
      </c>
      <c r="IY76">
        <v>3.734</v>
      </c>
      <c r="IZ76">
        <v>3.327</v>
      </c>
      <c r="JA76">
        <v>4.3860000000000001</v>
      </c>
      <c r="JB76">
        <v>3.1850000000000001</v>
      </c>
      <c r="JC76">
        <v>4.16</v>
      </c>
      <c r="JD76">
        <v>3.4860000000000002</v>
      </c>
      <c r="JE76">
        <v>1.2809999999999999</v>
      </c>
      <c r="JF76">
        <v>4.1429999999999998</v>
      </c>
      <c r="JG76">
        <v>5.258</v>
      </c>
      <c r="JH76">
        <v>3.0209999999999999</v>
      </c>
      <c r="JI76">
        <v>-2.964</v>
      </c>
      <c r="JJ76">
        <v>3.6110000000000002</v>
      </c>
      <c r="JK76">
        <v>-2.39</v>
      </c>
      <c r="JL76">
        <v>3.8290000000000002</v>
      </c>
      <c r="JM76">
        <v>4.2830000000000004</v>
      </c>
      <c r="JN76">
        <v>3.871</v>
      </c>
      <c r="JO76">
        <v>4.4640000000000004</v>
      </c>
      <c r="JP76">
        <v>-1.359</v>
      </c>
      <c r="JQ76">
        <v>3.871</v>
      </c>
      <c r="JR76">
        <v>3.6469999999999998</v>
      </c>
      <c r="JS76">
        <v>4.5039999999999996</v>
      </c>
      <c r="JT76">
        <v>3.5219999999999998</v>
      </c>
      <c r="JU76">
        <v>3.4380000000000002</v>
      </c>
      <c r="JV76">
        <v>3.2450000000000001</v>
      </c>
      <c r="JW76">
        <v>4.95</v>
      </c>
      <c r="JX76">
        <v>4.1639999999999997</v>
      </c>
      <c r="JY76">
        <v>-0.55000000000000004</v>
      </c>
      <c r="JZ76">
        <v>-0.66900000000000004</v>
      </c>
      <c r="KA76">
        <v>3.1269999999999998</v>
      </c>
      <c r="KB76">
        <v>2.9969999999999999</v>
      </c>
      <c r="KC76">
        <v>3.8820000000000001</v>
      </c>
      <c r="KD76">
        <v>3.6459999999999999</v>
      </c>
      <c r="KE76">
        <v>-3.6999999999999998E-2</v>
      </c>
      <c r="KF76">
        <v>-4.17</v>
      </c>
      <c r="KG76">
        <v>4.9969999999999999</v>
      </c>
      <c r="KH76">
        <v>5.6749999999999998</v>
      </c>
      <c r="KI76">
        <v>4.319</v>
      </c>
      <c r="KJ76">
        <v>3.8559999999999999</v>
      </c>
      <c r="KK76">
        <v>4.3289999999999997</v>
      </c>
      <c r="KL76">
        <v>3.5000000000000003E-2</v>
      </c>
      <c r="KM76">
        <v>1.2E-2</v>
      </c>
      <c r="KN76">
        <v>3.78</v>
      </c>
      <c r="KO76">
        <v>3.0430000000000001</v>
      </c>
      <c r="KP76">
        <v>1.38</v>
      </c>
      <c r="KQ76">
        <v>-6.5720000000000001</v>
      </c>
      <c r="KR76">
        <v>-6.6340000000000003</v>
      </c>
    </row>
    <row r="77" spans="1:304" x14ac:dyDescent="0.25">
      <c r="A77">
        <v>2020</v>
      </c>
      <c r="B77">
        <v>2</v>
      </c>
      <c r="C77">
        <v>-6.7050000000000001</v>
      </c>
      <c r="D77">
        <v>2.5059999999999998</v>
      </c>
      <c r="E77">
        <v>3.4159999999999999</v>
      </c>
      <c r="F77">
        <v>2.7549999999999999</v>
      </c>
      <c r="G77">
        <v>2.3109999999999999</v>
      </c>
      <c r="H77">
        <v>2.4390000000000001</v>
      </c>
      <c r="I77">
        <v>-9.0820000000000007</v>
      </c>
      <c r="J77">
        <v>-7.11</v>
      </c>
      <c r="K77">
        <v>1.103</v>
      </c>
      <c r="L77">
        <v>2.1659999999999999</v>
      </c>
      <c r="M77">
        <v>1.3160000000000001</v>
      </c>
      <c r="N77">
        <v>2.0329999999999999</v>
      </c>
      <c r="O77">
        <v>-4.7610000000000001</v>
      </c>
      <c r="P77">
        <v>4.3369999999999997</v>
      </c>
      <c r="Q77">
        <v>-7.8079999999999998</v>
      </c>
      <c r="R77">
        <v>2.4060000000000001</v>
      </c>
      <c r="S77">
        <v>-0.159</v>
      </c>
      <c r="T77">
        <v>3.7069999999999999</v>
      </c>
      <c r="U77">
        <v>0.53800000000000003</v>
      </c>
      <c r="V77">
        <v>1.8380000000000001</v>
      </c>
      <c r="W77">
        <v>2.13</v>
      </c>
      <c r="X77">
        <v>3.4089999999999998</v>
      </c>
      <c r="Y77">
        <v>4.141</v>
      </c>
      <c r="Z77">
        <v>-3.7360000000000002</v>
      </c>
      <c r="AA77">
        <v>4.9219999999999997</v>
      </c>
      <c r="AB77">
        <v>4.2270000000000003</v>
      </c>
      <c r="AC77">
        <v>0.42399999999999999</v>
      </c>
      <c r="AD77">
        <v>1.9330000000000001</v>
      </c>
      <c r="AE77">
        <v>2.4950000000000001</v>
      </c>
      <c r="AF77">
        <v>1.5249999999999999</v>
      </c>
      <c r="AG77">
        <v>-0.90900000000000003</v>
      </c>
      <c r="AH77">
        <v>-7.2279999999999998</v>
      </c>
      <c r="AI77">
        <v>-0.65700000000000003</v>
      </c>
      <c r="AJ77">
        <v>1.42</v>
      </c>
      <c r="AK77">
        <v>2.4750000000000001</v>
      </c>
      <c r="AL77">
        <v>2.08</v>
      </c>
      <c r="AM77">
        <v>2.254</v>
      </c>
      <c r="AN77">
        <v>4.3129999999999997</v>
      </c>
      <c r="AO77">
        <v>2.544</v>
      </c>
      <c r="AP77">
        <v>1.2410000000000001</v>
      </c>
      <c r="AQ77">
        <v>4.1390000000000002</v>
      </c>
      <c r="AR77">
        <v>1.6859999999999999</v>
      </c>
      <c r="AS77">
        <v>5.1390000000000002</v>
      </c>
      <c r="AT77">
        <v>0.56399999999999995</v>
      </c>
      <c r="AU77">
        <v>0.59899999999999998</v>
      </c>
      <c r="AV77">
        <v>1.3660000000000001</v>
      </c>
      <c r="AW77">
        <v>2.3639999999999999</v>
      </c>
      <c r="AX77">
        <v>2.181</v>
      </c>
      <c r="AY77">
        <v>1.63</v>
      </c>
      <c r="AZ77">
        <v>-5.952</v>
      </c>
      <c r="BA77">
        <v>2.4580000000000002</v>
      </c>
      <c r="BB77">
        <v>-4.242</v>
      </c>
      <c r="BC77">
        <v>-0.11600000000000001</v>
      </c>
      <c r="BD77">
        <v>2.028</v>
      </c>
      <c r="BE77">
        <v>2.1150000000000002</v>
      </c>
      <c r="BF77">
        <v>2.8140000000000001</v>
      </c>
      <c r="BG77">
        <v>-7.57</v>
      </c>
      <c r="BH77">
        <v>-9.6080000000000005</v>
      </c>
      <c r="BI77">
        <v>1.538</v>
      </c>
      <c r="BJ77">
        <v>3.92</v>
      </c>
      <c r="BK77">
        <v>2.5630000000000002</v>
      </c>
      <c r="BL77">
        <v>2.153</v>
      </c>
      <c r="BM77">
        <v>9.7000000000000003E-2</v>
      </c>
      <c r="BN77">
        <v>2.3050000000000002</v>
      </c>
      <c r="BO77">
        <v>1.8740000000000001</v>
      </c>
      <c r="BP77">
        <v>4.1479999999999997</v>
      </c>
      <c r="BQ77">
        <v>-3.5310000000000001</v>
      </c>
      <c r="BR77">
        <v>2.4609999999999999</v>
      </c>
      <c r="BS77">
        <v>2.056</v>
      </c>
      <c r="BT77">
        <v>-5.8879999999999999</v>
      </c>
      <c r="BU77">
        <v>-4.5540000000000003</v>
      </c>
      <c r="BV77">
        <v>1.0529999999999999</v>
      </c>
      <c r="BW77">
        <v>4.617</v>
      </c>
      <c r="BX77">
        <v>-6.4960000000000004</v>
      </c>
      <c r="BY77">
        <v>3.3410000000000002</v>
      </c>
      <c r="BZ77">
        <v>2.2010000000000001</v>
      </c>
      <c r="CA77">
        <v>2.9020000000000001</v>
      </c>
      <c r="CB77">
        <v>0.63800000000000001</v>
      </c>
      <c r="CC77">
        <v>2.3610000000000002</v>
      </c>
      <c r="CD77">
        <v>2.2240000000000002</v>
      </c>
      <c r="CE77">
        <v>0.434</v>
      </c>
      <c r="CF77">
        <v>2.4510000000000001</v>
      </c>
      <c r="CG77">
        <v>2.6280000000000001</v>
      </c>
      <c r="CH77">
        <v>0.59299999999999997</v>
      </c>
      <c r="CI77">
        <v>-0.57799999999999996</v>
      </c>
      <c r="CJ77">
        <v>3.3660000000000001</v>
      </c>
      <c r="CK77">
        <v>3.419</v>
      </c>
      <c r="CL77">
        <v>4.7229999999999999</v>
      </c>
      <c r="CM77">
        <v>2.8610000000000002</v>
      </c>
      <c r="CN77">
        <v>3.7650000000000001</v>
      </c>
      <c r="CO77">
        <v>3.7959999999999998</v>
      </c>
      <c r="CP77">
        <v>-10.483000000000001</v>
      </c>
      <c r="CQ77">
        <v>-5.9850000000000003</v>
      </c>
      <c r="CR77">
        <v>2.4860000000000002</v>
      </c>
      <c r="CS77">
        <v>2.0299999999999998</v>
      </c>
      <c r="CT77">
        <v>-6.4770000000000003</v>
      </c>
      <c r="CU77">
        <v>3.6110000000000002</v>
      </c>
      <c r="CV77">
        <v>-10.746</v>
      </c>
      <c r="CW77">
        <v>2.9540000000000002</v>
      </c>
      <c r="CX77">
        <v>3.82</v>
      </c>
      <c r="CY77">
        <v>1.228</v>
      </c>
      <c r="CZ77">
        <v>4.1120000000000001</v>
      </c>
      <c r="DA77">
        <v>2.1720000000000002</v>
      </c>
      <c r="DB77">
        <v>2.3530000000000002</v>
      </c>
      <c r="DC77">
        <v>1.736</v>
      </c>
      <c r="DD77">
        <v>2.665</v>
      </c>
      <c r="DE77">
        <v>-8.8979999999999997</v>
      </c>
      <c r="DF77">
        <v>2.2069999999999999</v>
      </c>
      <c r="DG77">
        <v>3.9710000000000001</v>
      </c>
      <c r="DH77">
        <v>1.8240000000000001</v>
      </c>
      <c r="DI77">
        <v>0.40300000000000002</v>
      </c>
      <c r="DJ77">
        <v>-2.2469999999999999</v>
      </c>
      <c r="DK77">
        <v>4.22</v>
      </c>
      <c r="DL77">
        <v>1.7230000000000001</v>
      </c>
      <c r="DM77">
        <v>2.3639999999999999</v>
      </c>
      <c r="DN77">
        <v>3.78</v>
      </c>
      <c r="DO77">
        <v>2.444</v>
      </c>
      <c r="DP77">
        <v>3.609</v>
      </c>
      <c r="DQ77">
        <v>-9.7260000000000009</v>
      </c>
      <c r="DR77">
        <v>4.6859999999999999</v>
      </c>
      <c r="DS77">
        <v>2.1920000000000002</v>
      </c>
      <c r="DT77">
        <v>4.0510000000000002</v>
      </c>
      <c r="DU77">
        <v>4.7789999999999999</v>
      </c>
      <c r="DV77">
        <v>2.0670000000000002</v>
      </c>
      <c r="DW77">
        <v>2.1190000000000002</v>
      </c>
      <c r="DX77">
        <v>-0.106</v>
      </c>
      <c r="DY77">
        <v>3.024</v>
      </c>
      <c r="DZ77">
        <v>2.218</v>
      </c>
      <c r="EA77">
        <v>2.4889999999999999</v>
      </c>
      <c r="EB77">
        <v>2.915</v>
      </c>
      <c r="EC77">
        <v>2.9550000000000001</v>
      </c>
      <c r="ED77">
        <v>1.3129999999999999</v>
      </c>
      <c r="EE77">
        <v>2.8820000000000001</v>
      </c>
      <c r="EF77">
        <v>2.5310000000000001</v>
      </c>
      <c r="EG77">
        <v>-1.526</v>
      </c>
      <c r="EH77">
        <v>4.9249999999999998</v>
      </c>
      <c r="EI77">
        <v>0.63900000000000001</v>
      </c>
      <c r="EJ77">
        <v>-5.6879999999999997</v>
      </c>
      <c r="EK77">
        <v>4.6890000000000001</v>
      </c>
      <c r="EL77">
        <v>-7.258</v>
      </c>
      <c r="EM77">
        <v>3.8719999999999999</v>
      </c>
      <c r="EN77">
        <v>2.214</v>
      </c>
      <c r="EO77">
        <v>4.9610000000000003</v>
      </c>
      <c r="EP77">
        <v>-1.1399999999999999</v>
      </c>
      <c r="EQ77">
        <v>-7.1859999999999999</v>
      </c>
      <c r="ER77">
        <v>3.0649999999999999</v>
      </c>
      <c r="ES77">
        <v>3.0609999999999999</v>
      </c>
      <c r="ET77">
        <v>3.0390000000000001</v>
      </c>
      <c r="EU77">
        <v>2.7229999999999999</v>
      </c>
      <c r="EV77">
        <v>-0.11700000000000001</v>
      </c>
      <c r="EW77">
        <v>2.589</v>
      </c>
      <c r="EX77">
        <v>2.9220000000000002</v>
      </c>
      <c r="EY77">
        <v>0.623</v>
      </c>
      <c r="EZ77">
        <v>1.7949999999999999</v>
      </c>
      <c r="FA77">
        <v>3.6440000000000001</v>
      </c>
      <c r="FB77">
        <v>3.5630000000000002</v>
      </c>
      <c r="FC77">
        <v>3.6480000000000001</v>
      </c>
      <c r="FD77">
        <v>2.4889999999999999</v>
      </c>
      <c r="FE77">
        <v>1.258</v>
      </c>
      <c r="FF77">
        <v>1.2589999999999999</v>
      </c>
      <c r="FG77">
        <v>-0.61599999999999999</v>
      </c>
      <c r="FH77">
        <v>-2.8149999999999999</v>
      </c>
      <c r="FI77">
        <v>2.6560000000000001</v>
      </c>
      <c r="FJ77">
        <v>1.806</v>
      </c>
      <c r="FK77">
        <v>-6.7560000000000002</v>
      </c>
      <c r="FL77">
        <v>2.871</v>
      </c>
      <c r="FM77">
        <v>2.1459999999999999</v>
      </c>
      <c r="FN77">
        <v>2.37</v>
      </c>
      <c r="FO77">
        <v>2.56</v>
      </c>
      <c r="FP77">
        <v>1.125</v>
      </c>
      <c r="FQ77">
        <v>0.46200000000000002</v>
      </c>
      <c r="FR77">
        <v>3.2829999999999999</v>
      </c>
      <c r="FS77">
        <v>-0.72099999999999997</v>
      </c>
      <c r="FT77">
        <v>3.508</v>
      </c>
      <c r="FU77">
        <v>2.8730000000000002</v>
      </c>
      <c r="FV77">
        <v>3.0510000000000002</v>
      </c>
      <c r="FW77">
        <v>2.698</v>
      </c>
      <c r="FX77">
        <v>-9.0690000000000008</v>
      </c>
      <c r="FY77">
        <v>3.403</v>
      </c>
      <c r="FZ77">
        <v>-5.2380000000000004</v>
      </c>
      <c r="GA77">
        <v>-6.5170000000000003</v>
      </c>
      <c r="GB77">
        <v>-3.6309999999999998</v>
      </c>
      <c r="GC77">
        <v>3.8380000000000001</v>
      </c>
      <c r="GD77">
        <v>-0.27700000000000002</v>
      </c>
      <c r="GE77">
        <v>1.4550000000000001</v>
      </c>
      <c r="GF77">
        <v>2.3210000000000002</v>
      </c>
      <c r="GG77">
        <v>1.141</v>
      </c>
      <c r="GH77">
        <v>1.9850000000000001</v>
      </c>
      <c r="GI77">
        <v>4.798</v>
      </c>
      <c r="GJ77">
        <v>4.1050000000000004</v>
      </c>
      <c r="GK77">
        <v>2.2789999999999999</v>
      </c>
      <c r="GL77">
        <v>-4.2709999999999999</v>
      </c>
      <c r="GM77">
        <v>1.091</v>
      </c>
      <c r="GN77">
        <v>4.4660000000000002</v>
      </c>
      <c r="GO77">
        <v>1.7749999999999999</v>
      </c>
      <c r="GP77">
        <v>2.0510000000000002</v>
      </c>
      <c r="GQ77">
        <v>0.88300000000000001</v>
      </c>
      <c r="GR77">
        <v>-3.8290000000000002</v>
      </c>
      <c r="GS77">
        <v>2.395</v>
      </c>
      <c r="GT77">
        <v>2.5569999999999999</v>
      </c>
      <c r="GU77">
        <v>-8.282</v>
      </c>
      <c r="GV77">
        <v>4.2069999999999999</v>
      </c>
      <c r="GW77">
        <v>4.6680000000000001</v>
      </c>
      <c r="GX77">
        <v>3.383</v>
      </c>
      <c r="GY77">
        <v>2.4729999999999999</v>
      </c>
      <c r="GZ77">
        <v>2.5630000000000002</v>
      </c>
      <c r="HA77">
        <v>0.90500000000000003</v>
      </c>
      <c r="HB77">
        <v>-3.5470000000000002</v>
      </c>
      <c r="HC77">
        <v>-7.6159999999999997</v>
      </c>
      <c r="HD77">
        <v>2.153</v>
      </c>
      <c r="HE77">
        <v>3.468</v>
      </c>
      <c r="HF77">
        <v>-5.27</v>
      </c>
      <c r="HG77">
        <v>2.5369999999999999</v>
      </c>
      <c r="HH77">
        <v>-0.94099999999999995</v>
      </c>
      <c r="HI77">
        <v>1.032</v>
      </c>
      <c r="HJ77">
        <v>1.62</v>
      </c>
      <c r="HK77">
        <v>4.3710000000000004</v>
      </c>
      <c r="HL77">
        <v>4.617</v>
      </c>
      <c r="HM77">
        <v>-3.6579999999999999</v>
      </c>
      <c r="HN77">
        <v>1.9419999999999999</v>
      </c>
      <c r="HO77">
        <v>-3.7</v>
      </c>
      <c r="HP77">
        <v>3.117</v>
      </c>
      <c r="HQ77">
        <v>2.423</v>
      </c>
      <c r="HR77">
        <v>-2.4500000000000002</v>
      </c>
      <c r="HS77">
        <v>-4.6749999999999998</v>
      </c>
      <c r="HT77">
        <v>0.82899999999999996</v>
      </c>
      <c r="HU77">
        <v>1.4770000000000001</v>
      </c>
      <c r="HV77">
        <v>1.105</v>
      </c>
      <c r="HW77">
        <v>2.77</v>
      </c>
      <c r="HX77">
        <v>2.2069999999999999</v>
      </c>
      <c r="HY77">
        <v>4.2789999999999999</v>
      </c>
      <c r="HZ77">
        <v>3.1859999999999999</v>
      </c>
      <c r="IA77">
        <v>2.5270000000000001</v>
      </c>
      <c r="IB77">
        <v>1.833</v>
      </c>
      <c r="IC77">
        <v>1.3759999999999999</v>
      </c>
      <c r="ID77">
        <v>-1.736</v>
      </c>
      <c r="IE77">
        <v>2.6869999999999998</v>
      </c>
      <c r="IF77">
        <v>4.0880000000000001</v>
      </c>
      <c r="IG77">
        <v>4.1980000000000004</v>
      </c>
      <c r="IH77">
        <v>0.373</v>
      </c>
      <c r="II77">
        <v>3.4809999999999999</v>
      </c>
      <c r="IJ77">
        <v>1.768</v>
      </c>
      <c r="IK77">
        <v>2.0510000000000002</v>
      </c>
      <c r="IL77">
        <v>5.0209999999999999</v>
      </c>
      <c r="IM77">
        <v>2.8559999999999999</v>
      </c>
      <c r="IN77">
        <v>2.395</v>
      </c>
      <c r="IO77">
        <v>2.3519999999999999</v>
      </c>
      <c r="IP77">
        <v>2.3849999999999998</v>
      </c>
      <c r="IQ77">
        <v>-4.6980000000000004</v>
      </c>
      <c r="IR77">
        <v>1.3839999999999999</v>
      </c>
      <c r="IS77">
        <v>2.6190000000000002</v>
      </c>
      <c r="IT77">
        <v>3.1779999999999999</v>
      </c>
      <c r="IU77">
        <v>2.9180000000000001</v>
      </c>
      <c r="IV77">
        <v>1.492</v>
      </c>
      <c r="IW77">
        <v>-3.129</v>
      </c>
      <c r="IX77">
        <v>2.2120000000000002</v>
      </c>
      <c r="IY77">
        <v>2.1720000000000002</v>
      </c>
      <c r="IZ77">
        <v>1.8440000000000001</v>
      </c>
      <c r="JA77">
        <v>2.9249999999999998</v>
      </c>
      <c r="JB77">
        <v>1.673</v>
      </c>
      <c r="JC77">
        <v>2.8780000000000001</v>
      </c>
      <c r="JD77">
        <v>1.855</v>
      </c>
      <c r="JE77">
        <v>-0.46899999999999997</v>
      </c>
      <c r="JF77">
        <v>2.6419999999999999</v>
      </c>
      <c r="JG77">
        <v>4.1139999999999999</v>
      </c>
      <c r="JH77">
        <v>1.637</v>
      </c>
      <c r="JI77">
        <v>-7.8380000000000001</v>
      </c>
      <c r="JJ77">
        <v>2.3410000000000002</v>
      </c>
      <c r="JK77">
        <v>-6.1059999999999999</v>
      </c>
      <c r="JL77">
        <v>2.4390000000000001</v>
      </c>
      <c r="JM77">
        <v>3.3149999999999999</v>
      </c>
      <c r="JN77">
        <v>2.306</v>
      </c>
      <c r="JO77">
        <v>2.9430000000000001</v>
      </c>
      <c r="JP77">
        <v>-4.3769999999999998</v>
      </c>
      <c r="JQ77">
        <v>2.4009999999999998</v>
      </c>
      <c r="JR77">
        <v>2.2749999999999999</v>
      </c>
      <c r="JS77">
        <v>3.3050000000000002</v>
      </c>
      <c r="JT77">
        <v>2.1030000000000002</v>
      </c>
      <c r="JU77">
        <v>2.2170000000000001</v>
      </c>
      <c r="JV77">
        <v>1.82</v>
      </c>
      <c r="JW77">
        <v>4.7610000000000001</v>
      </c>
      <c r="JX77">
        <v>2.597</v>
      </c>
      <c r="JY77">
        <v>-3.1970000000000001</v>
      </c>
      <c r="JZ77">
        <v>-3.0489999999999999</v>
      </c>
      <c r="KA77">
        <v>1.359</v>
      </c>
      <c r="KB77">
        <v>1.6990000000000001</v>
      </c>
      <c r="KC77">
        <v>2.468</v>
      </c>
      <c r="KD77">
        <v>2.2389999999999999</v>
      </c>
      <c r="KE77">
        <v>-1.7589999999999999</v>
      </c>
      <c r="KF77">
        <v>-7.8959999999999999</v>
      </c>
      <c r="KG77">
        <v>4.3280000000000003</v>
      </c>
      <c r="KH77">
        <v>4.4859999999999998</v>
      </c>
      <c r="KI77">
        <v>2.8170000000000002</v>
      </c>
      <c r="KJ77">
        <v>2.351</v>
      </c>
      <c r="KK77">
        <v>3.4609999999999999</v>
      </c>
      <c r="KL77">
        <v>-2.605</v>
      </c>
      <c r="KM77">
        <v>-2.8180000000000001</v>
      </c>
      <c r="KN77">
        <v>2.2200000000000002</v>
      </c>
      <c r="KO77">
        <v>1.5980000000000001</v>
      </c>
      <c r="KP77">
        <v>-0.57399999999999995</v>
      </c>
      <c r="KQ77">
        <v>-7.8639999999999999</v>
      </c>
      <c r="KR77">
        <v>-7.1909999999999998</v>
      </c>
    </row>
    <row r="78" spans="1:304" x14ac:dyDescent="0.25">
      <c r="A78">
        <v>2020</v>
      </c>
      <c r="B78">
        <v>3</v>
      </c>
      <c r="C78">
        <v>-4.968</v>
      </c>
      <c r="D78">
        <v>3.081</v>
      </c>
      <c r="E78">
        <v>3.4889999999999999</v>
      </c>
      <c r="F78">
        <v>2.927</v>
      </c>
      <c r="G78">
        <v>2.544</v>
      </c>
      <c r="H78">
        <v>2.9430000000000001</v>
      </c>
      <c r="I78">
        <v>-4.7119999999999997</v>
      </c>
      <c r="J78">
        <v>-4.101</v>
      </c>
      <c r="K78">
        <v>2.21</v>
      </c>
      <c r="L78">
        <v>2.4350000000000001</v>
      </c>
      <c r="M78">
        <v>1.96</v>
      </c>
      <c r="N78">
        <v>2.383</v>
      </c>
      <c r="O78">
        <v>-1.93</v>
      </c>
      <c r="P78">
        <v>4.0830000000000002</v>
      </c>
      <c r="Q78">
        <v>-2.2690000000000001</v>
      </c>
      <c r="R78">
        <v>2.5150000000000001</v>
      </c>
      <c r="S78">
        <v>1.3879999999999999</v>
      </c>
      <c r="T78">
        <v>3.8839999999999999</v>
      </c>
      <c r="U78">
        <v>1.468</v>
      </c>
      <c r="V78">
        <v>1.954</v>
      </c>
      <c r="W78">
        <v>2.734</v>
      </c>
      <c r="X78">
        <v>3.3580000000000001</v>
      </c>
      <c r="Y78">
        <v>4.0449999999999999</v>
      </c>
      <c r="Z78">
        <v>-1.595</v>
      </c>
      <c r="AA78">
        <v>4.6870000000000003</v>
      </c>
      <c r="AB78">
        <v>3.952</v>
      </c>
      <c r="AC78">
        <v>1.948</v>
      </c>
      <c r="AD78">
        <v>2.323</v>
      </c>
      <c r="AE78">
        <v>3.1549999999999998</v>
      </c>
      <c r="AF78">
        <v>2.0680000000000001</v>
      </c>
      <c r="AG78">
        <v>0.73299999999999998</v>
      </c>
      <c r="AH78">
        <v>-2.8260000000000001</v>
      </c>
      <c r="AI78">
        <v>0.74299999999999999</v>
      </c>
      <c r="AJ78">
        <v>1.897</v>
      </c>
      <c r="AK78">
        <v>2.6240000000000001</v>
      </c>
      <c r="AL78">
        <v>2.766</v>
      </c>
      <c r="AM78">
        <v>2.8180000000000001</v>
      </c>
      <c r="AN78">
        <v>4.1390000000000002</v>
      </c>
      <c r="AO78">
        <v>2.859</v>
      </c>
      <c r="AP78">
        <v>1.9630000000000001</v>
      </c>
      <c r="AQ78">
        <v>3.8809999999999998</v>
      </c>
      <c r="AR78">
        <v>2.2599999999999998</v>
      </c>
      <c r="AS78">
        <v>5.0030000000000001</v>
      </c>
      <c r="AT78">
        <v>1.5009999999999999</v>
      </c>
      <c r="AU78">
        <v>1.635</v>
      </c>
      <c r="AV78">
        <v>2.1560000000000001</v>
      </c>
      <c r="AW78">
        <v>2.7919999999999998</v>
      </c>
      <c r="AX78">
        <v>2.7130000000000001</v>
      </c>
      <c r="AY78">
        <v>2.468</v>
      </c>
      <c r="AZ78">
        <v>-2.7490000000000001</v>
      </c>
      <c r="BA78">
        <v>2.5819999999999999</v>
      </c>
      <c r="BB78">
        <v>-2.4300000000000002</v>
      </c>
      <c r="BC78">
        <v>0.94</v>
      </c>
      <c r="BD78">
        <v>2.2269999999999999</v>
      </c>
      <c r="BE78">
        <v>2.6280000000000001</v>
      </c>
      <c r="BF78">
        <v>3.0539999999999998</v>
      </c>
      <c r="BG78">
        <v>-3.589</v>
      </c>
      <c r="BH78">
        <v>-5.1449999999999996</v>
      </c>
      <c r="BI78">
        <v>2.4359999999999999</v>
      </c>
      <c r="BJ78">
        <v>4.04</v>
      </c>
      <c r="BK78">
        <v>3.024</v>
      </c>
      <c r="BL78">
        <v>2.8119999999999998</v>
      </c>
      <c r="BM78">
        <v>1.5609999999999999</v>
      </c>
      <c r="BN78">
        <v>2.64</v>
      </c>
      <c r="BO78">
        <v>2.5110000000000001</v>
      </c>
      <c r="BP78">
        <v>3.9510000000000001</v>
      </c>
      <c r="BQ78">
        <v>-1.2749999999999999</v>
      </c>
      <c r="BR78">
        <v>2.8439999999999999</v>
      </c>
      <c r="BS78">
        <v>2.6190000000000002</v>
      </c>
      <c r="BT78">
        <v>-2.9910000000000001</v>
      </c>
      <c r="BU78">
        <v>-2.665</v>
      </c>
      <c r="BV78">
        <v>1.8149999999999999</v>
      </c>
      <c r="BW78">
        <v>4.3719999999999999</v>
      </c>
      <c r="BX78">
        <v>-4.2839999999999998</v>
      </c>
      <c r="BY78">
        <v>3.3490000000000002</v>
      </c>
      <c r="BZ78">
        <v>2.613</v>
      </c>
      <c r="CA78">
        <v>3.16</v>
      </c>
      <c r="CB78">
        <v>1.454</v>
      </c>
      <c r="CC78">
        <v>2.7490000000000001</v>
      </c>
      <c r="CD78">
        <v>2.8220000000000001</v>
      </c>
      <c r="CE78">
        <v>1.472</v>
      </c>
      <c r="CF78">
        <v>2.6890000000000001</v>
      </c>
      <c r="CG78">
        <v>2.6</v>
      </c>
      <c r="CH78">
        <v>1.512</v>
      </c>
      <c r="CI78">
        <v>0.47499999999999998</v>
      </c>
      <c r="CJ78">
        <v>3.4510000000000001</v>
      </c>
      <c r="CK78">
        <v>3.2639999999999998</v>
      </c>
      <c r="CL78">
        <v>4.4889999999999999</v>
      </c>
      <c r="CM78">
        <v>3.109</v>
      </c>
      <c r="CN78">
        <v>3.5790000000000002</v>
      </c>
      <c r="CO78">
        <v>3.581</v>
      </c>
      <c r="CP78">
        <v>-4.3609999999999998</v>
      </c>
      <c r="CQ78">
        <v>-1.9930000000000001</v>
      </c>
      <c r="CR78">
        <v>3.141</v>
      </c>
      <c r="CS78">
        <v>2.4350000000000001</v>
      </c>
      <c r="CT78">
        <v>-2.8079999999999998</v>
      </c>
      <c r="CU78">
        <v>3.6230000000000002</v>
      </c>
      <c r="CV78">
        <v>-6.508</v>
      </c>
      <c r="CW78">
        <v>3.1739999999999999</v>
      </c>
      <c r="CX78">
        <v>3.5550000000000002</v>
      </c>
      <c r="CY78">
        <v>1.8420000000000001</v>
      </c>
      <c r="CZ78">
        <v>3.988</v>
      </c>
      <c r="DA78">
        <v>2.73</v>
      </c>
      <c r="DB78">
        <v>2.8260000000000001</v>
      </c>
      <c r="DC78">
        <v>2.5270000000000001</v>
      </c>
      <c r="DD78">
        <v>2.7149999999999999</v>
      </c>
      <c r="DE78">
        <v>-5.5759999999999996</v>
      </c>
      <c r="DF78">
        <v>2.4409999999999998</v>
      </c>
      <c r="DG78">
        <v>3.714</v>
      </c>
      <c r="DH78">
        <v>2.5750000000000002</v>
      </c>
      <c r="DI78">
        <v>1.2250000000000001</v>
      </c>
      <c r="DJ78">
        <v>-0.498</v>
      </c>
      <c r="DK78">
        <v>3.9790000000000001</v>
      </c>
      <c r="DL78">
        <v>2.27</v>
      </c>
      <c r="DM78">
        <v>2.7330000000000001</v>
      </c>
      <c r="DN78">
        <v>3.726</v>
      </c>
      <c r="DO78">
        <v>2.988</v>
      </c>
      <c r="DP78">
        <v>3.6829999999999998</v>
      </c>
      <c r="DQ78">
        <v>-4.6870000000000003</v>
      </c>
      <c r="DR78">
        <v>4.4729999999999999</v>
      </c>
      <c r="DS78">
        <v>2.79</v>
      </c>
      <c r="DT78">
        <v>3.8069999999999999</v>
      </c>
      <c r="DU78">
        <v>4.5389999999999997</v>
      </c>
      <c r="DV78">
        <v>2.5089999999999999</v>
      </c>
      <c r="DW78">
        <v>2.5880000000000001</v>
      </c>
      <c r="DX78">
        <v>0.95899999999999996</v>
      </c>
      <c r="DY78">
        <v>3.11</v>
      </c>
      <c r="DZ78">
        <v>2.4740000000000002</v>
      </c>
      <c r="EA78">
        <v>3.117</v>
      </c>
      <c r="EB78">
        <v>3.27</v>
      </c>
      <c r="EC78">
        <v>3.085</v>
      </c>
      <c r="ED78">
        <v>1.913</v>
      </c>
      <c r="EE78">
        <v>3.2989999999999999</v>
      </c>
      <c r="EF78">
        <v>2.577</v>
      </c>
      <c r="EG78">
        <v>0.46</v>
      </c>
      <c r="EH78">
        <v>4.7</v>
      </c>
      <c r="EI78">
        <v>1.5009999999999999</v>
      </c>
      <c r="EJ78">
        <v>-1.917</v>
      </c>
      <c r="EK78">
        <v>4.4870000000000001</v>
      </c>
      <c r="EL78">
        <v>-2.5990000000000002</v>
      </c>
      <c r="EM78">
        <v>3.762</v>
      </c>
      <c r="EN78">
        <v>2.613</v>
      </c>
      <c r="EO78">
        <v>4.7380000000000004</v>
      </c>
      <c r="EP78">
        <v>0.25800000000000001</v>
      </c>
      <c r="EQ78">
        <v>-3.593</v>
      </c>
      <c r="ER78">
        <v>3.2389999999999999</v>
      </c>
      <c r="ES78">
        <v>2.9430000000000001</v>
      </c>
      <c r="ET78">
        <v>3.13</v>
      </c>
      <c r="EU78">
        <v>3.0680000000000001</v>
      </c>
      <c r="EV78">
        <v>1.1299999999999999</v>
      </c>
      <c r="EW78">
        <v>2.8969999999999998</v>
      </c>
      <c r="EX78">
        <v>2.9580000000000002</v>
      </c>
      <c r="EY78">
        <v>1.792</v>
      </c>
      <c r="EZ78">
        <v>2.536</v>
      </c>
      <c r="FA78">
        <v>3.74</v>
      </c>
      <c r="FB78">
        <v>3.6669999999999998</v>
      </c>
      <c r="FC78">
        <v>3.665</v>
      </c>
      <c r="FD78">
        <v>3.0950000000000002</v>
      </c>
      <c r="FE78">
        <v>1.8720000000000001</v>
      </c>
      <c r="FF78">
        <v>1.952</v>
      </c>
      <c r="FG78">
        <v>0.69799999999999995</v>
      </c>
      <c r="FH78">
        <v>-0.97699999999999998</v>
      </c>
      <c r="FI78">
        <v>3.173</v>
      </c>
      <c r="FJ78">
        <v>2.641</v>
      </c>
      <c r="FK78">
        <v>-3.1960000000000002</v>
      </c>
      <c r="FL78">
        <v>3.004</v>
      </c>
      <c r="FM78">
        <v>2.7280000000000002</v>
      </c>
      <c r="FN78">
        <v>2.88</v>
      </c>
      <c r="FO78">
        <v>2.9529999999999998</v>
      </c>
      <c r="FP78">
        <v>1.61</v>
      </c>
      <c r="FQ78">
        <v>1.552</v>
      </c>
      <c r="FR78">
        <v>3.09</v>
      </c>
      <c r="FS78">
        <v>0.69199999999999995</v>
      </c>
      <c r="FT78">
        <v>3.4940000000000002</v>
      </c>
      <c r="FU78">
        <v>2.847</v>
      </c>
      <c r="FV78">
        <v>3.258</v>
      </c>
      <c r="FW78">
        <v>3.125</v>
      </c>
      <c r="FX78">
        <v>-4.3380000000000001</v>
      </c>
      <c r="FY78">
        <v>3.5129999999999999</v>
      </c>
      <c r="FZ78">
        <v>-1.4470000000000001</v>
      </c>
      <c r="GA78">
        <v>-5.27</v>
      </c>
      <c r="GB78">
        <v>-0.91900000000000004</v>
      </c>
      <c r="GC78">
        <v>3.6960000000000002</v>
      </c>
      <c r="GD78">
        <v>0.84399999999999997</v>
      </c>
      <c r="GE78">
        <v>2.024</v>
      </c>
      <c r="GF78">
        <v>2.9260000000000002</v>
      </c>
      <c r="GG78">
        <v>2.1280000000000001</v>
      </c>
      <c r="GH78">
        <v>2.69</v>
      </c>
      <c r="GI78">
        <v>4.6559999999999997</v>
      </c>
      <c r="GJ78">
        <v>3.895</v>
      </c>
      <c r="GK78">
        <v>2.8420000000000001</v>
      </c>
      <c r="GL78">
        <v>-0.89500000000000002</v>
      </c>
      <c r="GM78">
        <v>1.76</v>
      </c>
      <c r="GN78">
        <v>4.26</v>
      </c>
      <c r="GO78">
        <v>2.5510000000000002</v>
      </c>
      <c r="GP78">
        <v>2.536</v>
      </c>
      <c r="GQ78">
        <v>1.712</v>
      </c>
      <c r="GR78">
        <v>-1.246</v>
      </c>
      <c r="GS78">
        <v>3.0710000000000002</v>
      </c>
      <c r="GT78">
        <v>3.206</v>
      </c>
      <c r="GU78">
        <v>-3.7949999999999999</v>
      </c>
      <c r="GV78">
        <v>4.0110000000000001</v>
      </c>
      <c r="GW78">
        <v>4.4340000000000002</v>
      </c>
      <c r="GX78">
        <v>3.4049999999999998</v>
      </c>
      <c r="GY78">
        <v>3.1030000000000002</v>
      </c>
      <c r="GZ78">
        <v>3.2109999999999999</v>
      </c>
      <c r="HA78">
        <v>1.744</v>
      </c>
      <c r="HB78">
        <v>-2.8069999999999999</v>
      </c>
      <c r="HC78">
        <v>-3.6389999999999998</v>
      </c>
      <c r="HD78">
        <v>2.8149999999999999</v>
      </c>
      <c r="HE78">
        <v>3.56</v>
      </c>
      <c r="HF78">
        <v>-2.3279999999999998</v>
      </c>
      <c r="HG78">
        <v>3.1949999999999998</v>
      </c>
      <c r="HH78">
        <v>0.52300000000000002</v>
      </c>
      <c r="HI78">
        <v>2.093</v>
      </c>
      <c r="HJ78">
        <v>2.246</v>
      </c>
      <c r="HK78">
        <v>4.1219999999999999</v>
      </c>
      <c r="HL78">
        <v>4.3319999999999999</v>
      </c>
      <c r="HM78">
        <v>-1.2529999999999999</v>
      </c>
      <c r="HN78">
        <v>2.0190000000000001</v>
      </c>
      <c r="HO78">
        <v>-1.6990000000000001</v>
      </c>
      <c r="HP78">
        <v>3.2120000000000002</v>
      </c>
      <c r="HQ78">
        <v>2.6930000000000001</v>
      </c>
      <c r="HR78">
        <v>-1.2290000000000001</v>
      </c>
      <c r="HS78">
        <v>-2.351</v>
      </c>
      <c r="HT78">
        <v>1.6839999999999999</v>
      </c>
      <c r="HU78">
        <v>1.9139999999999999</v>
      </c>
      <c r="HV78">
        <v>1.9930000000000001</v>
      </c>
      <c r="HW78">
        <v>3.2309999999999999</v>
      </c>
      <c r="HX78">
        <v>2.8039999999999998</v>
      </c>
      <c r="HY78">
        <v>4.1589999999999998</v>
      </c>
      <c r="HZ78">
        <v>3.262</v>
      </c>
      <c r="IA78">
        <v>2.895</v>
      </c>
      <c r="IB78">
        <v>2.4079999999999999</v>
      </c>
      <c r="IC78">
        <v>2.2490000000000001</v>
      </c>
      <c r="ID78">
        <v>-2.8000000000000001E-2</v>
      </c>
      <c r="IE78">
        <v>2.6640000000000001</v>
      </c>
      <c r="IF78">
        <v>3.98</v>
      </c>
      <c r="IG78">
        <v>4.0010000000000003</v>
      </c>
      <c r="IH78">
        <v>1.8720000000000001</v>
      </c>
      <c r="II78">
        <v>3.3580000000000001</v>
      </c>
      <c r="IJ78">
        <v>1.899</v>
      </c>
      <c r="IK78">
        <v>2.5270000000000001</v>
      </c>
      <c r="IL78">
        <v>4.7569999999999997</v>
      </c>
      <c r="IM78">
        <v>3.012</v>
      </c>
      <c r="IN78">
        <v>2.8210000000000002</v>
      </c>
      <c r="IO78">
        <v>2.8969999999999998</v>
      </c>
      <c r="IP78">
        <v>3.06</v>
      </c>
      <c r="IQ78">
        <v>-3.51</v>
      </c>
      <c r="IR78">
        <v>2.1339999999999999</v>
      </c>
      <c r="IS78">
        <v>3.0059999999999998</v>
      </c>
      <c r="IT78">
        <v>3.2109999999999999</v>
      </c>
      <c r="IU78">
        <v>2.8029999999999999</v>
      </c>
      <c r="IV78">
        <v>1.7969999999999999</v>
      </c>
      <c r="IW78">
        <v>-0.86799999999999999</v>
      </c>
      <c r="IX78">
        <v>2.863</v>
      </c>
      <c r="IY78">
        <v>2.867</v>
      </c>
      <c r="IZ78">
        <v>2.5790000000000002</v>
      </c>
      <c r="JA78">
        <v>3.1779999999999999</v>
      </c>
      <c r="JB78">
        <v>1.94</v>
      </c>
      <c r="JC78">
        <v>3.2650000000000001</v>
      </c>
      <c r="JD78">
        <v>2.6230000000000002</v>
      </c>
      <c r="JE78">
        <v>0.745</v>
      </c>
      <c r="JF78">
        <v>3.0259999999999998</v>
      </c>
      <c r="JG78">
        <v>3.887</v>
      </c>
      <c r="JH78">
        <v>2.121</v>
      </c>
      <c r="JI78">
        <v>-3.331</v>
      </c>
      <c r="JJ78">
        <v>2.581</v>
      </c>
      <c r="JK78">
        <v>-2.1520000000000001</v>
      </c>
      <c r="JL78">
        <v>2.81</v>
      </c>
      <c r="JM78">
        <v>3.3639999999999999</v>
      </c>
      <c r="JN78">
        <v>2.6150000000000002</v>
      </c>
      <c r="JO78">
        <v>3.0409999999999999</v>
      </c>
      <c r="JP78">
        <v>-1.51</v>
      </c>
      <c r="JQ78">
        <v>2.9489999999999998</v>
      </c>
      <c r="JR78">
        <v>2.4630000000000001</v>
      </c>
      <c r="JS78">
        <v>3.726</v>
      </c>
      <c r="JT78">
        <v>2.7509999999999999</v>
      </c>
      <c r="JU78">
        <v>2.5499999999999998</v>
      </c>
      <c r="JV78">
        <v>2.1960000000000002</v>
      </c>
      <c r="JW78">
        <v>4.5830000000000002</v>
      </c>
      <c r="JX78">
        <v>2.7970000000000002</v>
      </c>
      <c r="JY78">
        <v>-0.70499999999999996</v>
      </c>
      <c r="JZ78">
        <v>-2.0680000000000001</v>
      </c>
      <c r="KA78">
        <v>1.915</v>
      </c>
      <c r="KB78">
        <v>2.19</v>
      </c>
      <c r="KC78">
        <v>2.8660000000000001</v>
      </c>
      <c r="KD78">
        <v>2.3170000000000002</v>
      </c>
      <c r="KE78">
        <v>-0.12</v>
      </c>
      <c r="KF78">
        <v>-2.4849999999999999</v>
      </c>
      <c r="KG78">
        <v>4.0350000000000001</v>
      </c>
      <c r="KH78">
        <v>4.4550000000000001</v>
      </c>
      <c r="KI78">
        <v>3.1419999999999999</v>
      </c>
      <c r="KJ78">
        <v>2.778</v>
      </c>
      <c r="KK78">
        <v>3.2669999999999999</v>
      </c>
      <c r="KL78">
        <v>-0.91</v>
      </c>
      <c r="KM78">
        <v>-1.6379999999999999</v>
      </c>
      <c r="KN78">
        <v>2.8980000000000001</v>
      </c>
      <c r="KO78">
        <v>2.3159999999999998</v>
      </c>
      <c r="KP78">
        <v>1.0549999999999999</v>
      </c>
      <c r="KQ78">
        <v>-3.4580000000000002</v>
      </c>
      <c r="KR78">
        <v>-3.4350000000000001</v>
      </c>
    </row>
    <row r="79" spans="1:304" x14ac:dyDescent="0.25">
      <c r="A79">
        <v>2020</v>
      </c>
      <c r="B79">
        <v>4</v>
      </c>
      <c r="C79">
        <v>-2.8439999999999999</v>
      </c>
      <c r="D79">
        <v>6.6539999999999999</v>
      </c>
      <c r="E79">
        <v>7.101</v>
      </c>
      <c r="F79">
        <v>6.5679999999999996</v>
      </c>
      <c r="G79">
        <v>6.7329999999999997</v>
      </c>
      <c r="H79">
        <v>6.6870000000000003</v>
      </c>
      <c r="I79">
        <v>-0.876</v>
      </c>
      <c r="J79">
        <v>-0.64500000000000002</v>
      </c>
      <c r="K79">
        <v>5.6029999999999998</v>
      </c>
      <c r="L79">
        <v>6.407</v>
      </c>
      <c r="M79">
        <v>5.6680000000000001</v>
      </c>
      <c r="N79">
        <v>6.2939999999999996</v>
      </c>
      <c r="O79">
        <v>2.069</v>
      </c>
      <c r="P79">
        <v>7.8109999999999999</v>
      </c>
      <c r="Q79">
        <v>1.355</v>
      </c>
      <c r="R79">
        <v>6.3929999999999998</v>
      </c>
      <c r="S79">
        <v>4.9930000000000003</v>
      </c>
      <c r="T79">
        <v>7.5529999999999999</v>
      </c>
      <c r="U79">
        <v>5.2160000000000002</v>
      </c>
      <c r="V79">
        <v>6.0670000000000002</v>
      </c>
      <c r="W79">
        <v>6.22</v>
      </c>
      <c r="X79">
        <v>7.2770000000000001</v>
      </c>
      <c r="Y79">
        <v>7.7039999999999997</v>
      </c>
      <c r="Z79">
        <v>2.1739999999999999</v>
      </c>
      <c r="AA79">
        <v>8.4749999999999996</v>
      </c>
      <c r="AB79">
        <v>7.3609999999999998</v>
      </c>
      <c r="AC79">
        <v>5.32</v>
      </c>
      <c r="AD79">
        <v>6.0490000000000004</v>
      </c>
      <c r="AE79">
        <v>6.53</v>
      </c>
      <c r="AF79">
        <v>5.8460000000000001</v>
      </c>
      <c r="AG79">
        <v>4.524</v>
      </c>
      <c r="AH79">
        <v>1.516</v>
      </c>
      <c r="AI79">
        <v>4.3920000000000003</v>
      </c>
      <c r="AJ79">
        <v>6.3319999999999999</v>
      </c>
      <c r="AK79">
        <v>6.5540000000000003</v>
      </c>
      <c r="AL79">
        <v>6.39</v>
      </c>
      <c r="AM79">
        <v>6.6760000000000002</v>
      </c>
      <c r="AN79">
        <v>7.859</v>
      </c>
      <c r="AO79">
        <v>6.6120000000000001</v>
      </c>
      <c r="AP79">
        <v>5.6829999999999998</v>
      </c>
      <c r="AQ79">
        <v>7.2160000000000002</v>
      </c>
      <c r="AR79">
        <v>6.1520000000000001</v>
      </c>
      <c r="AS79">
        <v>8.0419999999999998</v>
      </c>
      <c r="AT79">
        <v>5.3150000000000004</v>
      </c>
      <c r="AU79">
        <v>5.1020000000000003</v>
      </c>
      <c r="AV79">
        <v>5.4269999999999996</v>
      </c>
      <c r="AW79">
        <v>6.6509999999999998</v>
      </c>
      <c r="AX79">
        <v>6.4050000000000002</v>
      </c>
      <c r="AY79">
        <v>6.242</v>
      </c>
      <c r="AZ79">
        <v>1.391</v>
      </c>
      <c r="BA79">
        <v>6.4130000000000003</v>
      </c>
      <c r="BB79">
        <v>1.456</v>
      </c>
      <c r="BC79">
        <v>4.6059999999999999</v>
      </c>
      <c r="BD79">
        <v>6.4880000000000004</v>
      </c>
      <c r="BE79">
        <v>6.16</v>
      </c>
      <c r="BF79">
        <v>6.83</v>
      </c>
      <c r="BG79">
        <v>0.747</v>
      </c>
      <c r="BH79">
        <v>-1.6990000000000001</v>
      </c>
      <c r="BI79">
        <v>5.7030000000000003</v>
      </c>
      <c r="BJ79">
        <v>7.4720000000000004</v>
      </c>
      <c r="BK79">
        <v>6.8390000000000004</v>
      </c>
      <c r="BL79">
        <v>6.4669999999999996</v>
      </c>
      <c r="BM79">
        <v>4.9139999999999997</v>
      </c>
      <c r="BN79">
        <v>6.5579999999999998</v>
      </c>
      <c r="BO79">
        <v>6.2430000000000003</v>
      </c>
      <c r="BP79">
        <v>7.4050000000000002</v>
      </c>
      <c r="BQ79">
        <v>2.76</v>
      </c>
      <c r="BR79">
        <v>5.8609999999999998</v>
      </c>
      <c r="BS79">
        <v>5.8689999999999998</v>
      </c>
      <c r="BT79">
        <v>0.254</v>
      </c>
      <c r="BU79">
        <v>1.298</v>
      </c>
      <c r="BV79">
        <v>5.4630000000000001</v>
      </c>
      <c r="BW79">
        <v>8.0169999999999995</v>
      </c>
      <c r="BX79">
        <v>-1.3919999999999999</v>
      </c>
      <c r="BY79">
        <v>6.5170000000000003</v>
      </c>
      <c r="BZ79">
        <v>6.4089999999999998</v>
      </c>
      <c r="CA79">
        <v>6.5860000000000003</v>
      </c>
      <c r="CB79">
        <v>5.1239999999999997</v>
      </c>
      <c r="CC79">
        <v>6.4020000000000001</v>
      </c>
      <c r="CD79">
        <v>6.2889999999999997</v>
      </c>
      <c r="CE79">
        <v>5.0579999999999998</v>
      </c>
      <c r="CF79">
        <v>6.8559999999999999</v>
      </c>
      <c r="CG79">
        <v>6.577</v>
      </c>
      <c r="CH79">
        <v>5.0129999999999999</v>
      </c>
      <c r="CI79">
        <v>4.22</v>
      </c>
      <c r="CJ79">
        <v>7.1310000000000002</v>
      </c>
      <c r="CK79">
        <v>7.0510000000000002</v>
      </c>
      <c r="CL79">
        <v>7.806</v>
      </c>
      <c r="CM79">
        <v>7.3929999999999998</v>
      </c>
      <c r="CN79">
        <v>7.3890000000000002</v>
      </c>
      <c r="CO79">
        <v>7.3239999999999998</v>
      </c>
      <c r="CP79">
        <v>-0.59799999999999998</v>
      </c>
      <c r="CQ79">
        <v>2.2690000000000001</v>
      </c>
      <c r="CR79">
        <v>6.6959999999999997</v>
      </c>
      <c r="CS79">
        <v>6.6</v>
      </c>
      <c r="CT79">
        <v>0.66900000000000004</v>
      </c>
      <c r="CU79">
        <v>7.4329999999999998</v>
      </c>
      <c r="CV79">
        <v>-3.0710000000000002</v>
      </c>
      <c r="CW79">
        <v>6.7859999999999996</v>
      </c>
      <c r="CX79">
        <v>7.125</v>
      </c>
      <c r="CY79">
        <v>5.5369999999999999</v>
      </c>
      <c r="CZ79">
        <v>7.52</v>
      </c>
      <c r="DA79">
        <v>6.1449999999999996</v>
      </c>
      <c r="DB79">
        <v>6.5190000000000001</v>
      </c>
      <c r="DC79">
        <v>6.2439999999999998</v>
      </c>
      <c r="DD79">
        <v>6.7149999999999999</v>
      </c>
      <c r="DE79">
        <v>-2.456</v>
      </c>
      <c r="DF79">
        <v>6.4130000000000003</v>
      </c>
      <c r="DG79">
        <v>7.3330000000000002</v>
      </c>
      <c r="DH79">
        <v>6.0039999999999996</v>
      </c>
      <c r="DI79">
        <v>4.6870000000000003</v>
      </c>
      <c r="DJ79">
        <v>3.6110000000000002</v>
      </c>
      <c r="DK79">
        <v>7.8929999999999998</v>
      </c>
      <c r="DL79">
        <v>5.6820000000000004</v>
      </c>
      <c r="DM79">
        <v>6.6769999999999996</v>
      </c>
      <c r="DN79">
        <v>7.2930000000000001</v>
      </c>
      <c r="DO79">
        <v>6.7430000000000003</v>
      </c>
      <c r="DP79">
        <v>7.2629999999999999</v>
      </c>
      <c r="DQ79">
        <v>-0.77300000000000002</v>
      </c>
      <c r="DR79">
        <v>8.1859999999999999</v>
      </c>
      <c r="DS79">
        <v>6.5350000000000001</v>
      </c>
      <c r="DT79">
        <v>7.25</v>
      </c>
      <c r="DU79">
        <v>8.077</v>
      </c>
      <c r="DV79">
        <v>6.3949999999999996</v>
      </c>
      <c r="DW79">
        <v>6.4450000000000003</v>
      </c>
      <c r="DX79">
        <v>4.6959999999999997</v>
      </c>
      <c r="DY79">
        <v>6.7670000000000003</v>
      </c>
      <c r="DZ79">
        <v>6.4269999999999996</v>
      </c>
      <c r="EA79">
        <v>6.45</v>
      </c>
      <c r="EB79">
        <v>7.1239999999999997</v>
      </c>
      <c r="EC79">
        <v>6.766</v>
      </c>
      <c r="ED79">
        <v>5.8170000000000002</v>
      </c>
      <c r="EE79">
        <v>7.2809999999999997</v>
      </c>
      <c r="EF79">
        <v>6.5780000000000003</v>
      </c>
      <c r="EG79">
        <v>4.2480000000000002</v>
      </c>
      <c r="EH79">
        <v>8.4719999999999995</v>
      </c>
      <c r="EI79">
        <v>5.0720000000000001</v>
      </c>
      <c r="EJ79">
        <v>1.43</v>
      </c>
      <c r="EK79">
        <v>8.2799999999999994</v>
      </c>
      <c r="EL79">
        <v>1.4650000000000001</v>
      </c>
      <c r="EM79">
        <v>7.0350000000000001</v>
      </c>
      <c r="EN79">
        <v>6.6820000000000004</v>
      </c>
      <c r="EO79">
        <v>8.4700000000000006</v>
      </c>
      <c r="EP79">
        <v>3.7389999999999999</v>
      </c>
      <c r="EQ79">
        <v>3.3000000000000002E-2</v>
      </c>
      <c r="ER79">
        <v>6.6760000000000002</v>
      </c>
      <c r="ES79">
        <v>6.7359999999999998</v>
      </c>
      <c r="ET79">
        <v>6.85</v>
      </c>
      <c r="EU79">
        <v>7.19</v>
      </c>
      <c r="EV79">
        <v>4.9470000000000001</v>
      </c>
      <c r="EW79">
        <v>6.806</v>
      </c>
      <c r="EX79">
        <v>6.6619999999999999</v>
      </c>
      <c r="EY79">
        <v>5.2859999999999996</v>
      </c>
      <c r="EZ79">
        <v>5.9850000000000003</v>
      </c>
      <c r="FA79">
        <v>7.319</v>
      </c>
      <c r="FB79">
        <v>7.5140000000000002</v>
      </c>
      <c r="FC79">
        <v>7.3470000000000004</v>
      </c>
      <c r="FD79">
        <v>6.5010000000000003</v>
      </c>
      <c r="FE79">
        <v>5.7110000000000003</v>
      </c>
      <c r="FF79">
        <v>5.6379999999999999</v>
      </c>
      <c r="FG79">
        <v>4.4119999999999999</v>
      </c>
      <c r="FH79">
        <v>3.1</v>
      </c>
      <c r="FI79">
        <v>7.0119999999999996</v>
      </c>
      <c r="FJ79">
        <v>5.391</v>
      </c>
      <c r="FK79">
        <v>0.59299999999999997</v>
      </c>
      <c r="FL79">
        <v>7.0960000000000001</v>
      </c>
      <c r="FM79">
        <v>6.2759999999999998</v>
      </c>
      <c r="FN79">
        <v>6.6079999999999997</v>
      </c>
      <c r="FO79">
        <v>5.9029999999999996</v>
      </c>
      <c r="FP79">
        <v>5.9880000000000004</v>
      </c>
      <c r="FQ79">
        <v>5.1210000000000004</v>
      </c>
      <c r="FR79">
        <v>7.0279999999999996</v>
      </c>
      <c r="FS79">
        <v>4.5439999999999996</v>
      </c>
      <c r="FT79">
        <v>7.0659999999999998</v>
      </c>
      <c r="FU79">
        <v>6.827</v>
      </c>
      <c r="FV79">
        <v>7.1689999999999996</v>
      </c>
      <c r="FW79">
        <v>6.548</v>
      </c>
      <c r="FX79">
        <v>-0.95899999999999996</v>
      </c>
      <c r="FY79">
        <v>7.1550000000000002</v>
      </c>
      <c r="FZ79">
        <v>1.7490000000000001</v>
      </c>
      <c r="GA79">
        <v>-2.9790000000000001</v>
      </c>
      <c r="GB79">
        <v>2.343</v>
      </c>
      <c r="GC79">
        <v>7.17</v>
      </c>
      <c r="GD79">
        <v>4.5620000000000003</v>
      </c>
      <c r="GE79">
        <v>5.77</v>
      </c>
      <c r="GF79">
        <v>6.5179999999999998</v>
      </c>
      <c r="GG79">
        <v>5.75</v>
      </c>
      <c r="GH79">
        <v>6.234</v>
      </c>
      <c r="GI79">
        <v>7.5730000000000004</v>
      </c>
      <c r="GJ79">
        <v>7.7229999999999999</v>
      </c>
      <c r="GK79">
        <v>6.7290000000000001</v>
      </c>
      <c r="GL79">
        <v>2.1419999999999999</v>
      </c>
      <c r="GM79">
        <v>5.548</v>
      </c>
      <c r="GN79">
        <v>7.6550000000000002</v>
      </c>
      <c r="GO79">
        <v>5.51</v>
      </c>
      <c r="GP79">
        <v>6.4710000000000001</v>
      </c>
      <c r="GQ79">
        <v>5.3579999999999997</v>
      </c>
      <c r="GR79">
        <v>2.9740000000000002</v>
      </c>
      <c r="GS79">
        <v>6.5250000000000004</v>
      </c>
      <c r="GT79">
        <v>6.7089999999999996</v>
      </c>
      <c r="GU79">
        <v>9.0999999999999998E-2</v>
      </c>
      <c r="GV79">
        <v>6.9480000000000004</v>
      </c>
      <c r="GW79">
        <v>8.2460000000000004</v>
      </c>
      <c r="GX79">
        <v>7</v>
      </c>
      <c r="GY79">
        <v>6.6070000000000002</v>
      </c>
      <c r="GZ79">
        <v>6.7690000000000001</v>
      </c>
      <c r="HA79">
        <v>5.3550000000000004</v>
      </c>
      <c r="HB79">
        <v>-0.255</v>
      </c>
      <c r="HC79">
        <v>0.45</v>
      </c>
      <c r="HD79">
        <v>6.5540000000000003</v>
      </c>
      <c r="HE79">
        <v>6.9690000000000003</v>
      </c>
      <c r="HF79">
        <v>1.5569999999999999</v>
      </c>
      <c r="HG79">
        <v>6.718</v>
      </c>
      <c r="HH79">
        <v>4.431</v>
      </c>
      <c r="HI79">
        <v>5.6109999999999998</v>
      </c>
      <c r="HJ79">
        <v>5.9829999999999997</v>
      </c>
      <c r="HK79">
        <v>7.8310000000000004</v>
      </c>
      <c r="HL79">
        <v>8.0229999999999997</v>
      </c>
      <c r="HM79">
        <v>2.6560000000000001</v>
      </c>
      <c r="HN79">
        <v>6.1420000000000003</v>
      </c>
      <c r="HO79">
        <v>2.2549999999999999</v>
      </c>
      <c r="HP79">
        <v>6.86</v>
      </c>
      <c r="HQ79">
        <v>6.4080000000000004</v>
      </c>
      <c r="HR79">
        <v>2.27</v>
      </c>
      <c r="HS79">
        <v>1.591</v>
      </c>
      <c r="HT79">
        <v>5.36</v>
      </c>
      <c r="HU79">
        <v>6.2009999999999996</v>
      </c>
      <c r="HV79">
        <v>5.3280000000000003</v>
      </c>
      <c r="HW79">
        <v>7.0750000000000002</v>
      </c>
      <c r="HX79">
        <v>6.3639999999999999</v>
      </c>
      <c r="HY79">
        <v>7.5810000000000004</v>
      </c>
      <c r="HZ79">
        <v>6.7080000000000002</v>
      </c>
      <c r="IA79">
        <v>6.8369999999999997</v>
      </c>
      <c r="IB79">
        <v>6.4850000000000003</v>
      </c>
      <c r="IC79">
        <v>5.6440000000000001</v>
      </c>
      <c r="ID79">
        <v>4.0810000000000004</v>
      </c>
      <c r="IE79">
        <v>6.6749999999999998</v>
      </c>
      <c r="IF79">
        <v>7.101</v>
      </c>
      <c r="IG79">
        <v>7.6379999999999999</v>
      </c>
      <c r="IH79">
        <v>5.2549999999999999</v>
      </c>
      <c r="II79">
        <v>7.2809999999999997</v>
      </c>
      <c r="IJ79">
        <v>6.0490000000000004</v>
      </c>
      <c r="IK79">
        <v>6.7460000000000004</v>
      </c>
      <c r="IL79">
        <v>7.8579999999999997</v>
      </c>
      <c r="IM79">
        <v>6.7759999999999998</v>
      </c>
      <c r="IN79">
        <v>6.1959999999999997</v>
      </c>
      <c r="IO79">
        <v>6.19</v>
      </c>
      <c r="IP79">
        <v>6.3760000000000003</v>
      </c>
      <c r="IQ79">
        <v>0.21</v>
      </c>
      <c r="IR79">
        <v>5.7389999999999999</v>
      </c>
      <c r="IS79">
        <v>6.77</v>
      </c>
      <c r="IT79">
        <v>6.9059999999999997</v>
      </c>
      <c r="IU79">
        <v>6.665</v>
      </c>
      <c r="IV79">
        <v>5.8330000000000002</v>
      </c>
      <c r="IW79">
        <v>2.8450000000000002</v>
      </c>
      <c r="IX79">
        <v>6.4710000000000001</v>
      </c>
      <c r="IY79">
        <v>6.274</v>
      </c>
      <c r="IZ79">
        <v>6.0949999999999998</v>
      </c>
      <c r="JA79">
        <v>6.8810000000000002</v>
      </c>
      <c r="JB79">
        <v>6.181</v>
      </c>
      <c r="JC79">
        <v>6.9669999999999996</v>
      </c>
      <c r="JD79">
        <v>5.6929999999999996</v>
      </c>
      <c r="JE79">
        <v>4.2530000000000001</v>
      </c>
      <c r="JF79">
        <v>6.8540000000000001</v>
      </c>
      <c r="JG79">
        <v>7.1859999999999999</v>
      </c>
      <c r="JH79">
        <v>6.4870000000000001</v>
      </c>
      <c r="JI79">
        <v>1.0609999999999999</v>
      </c>
      <c r="JJ79">
        <v>6.673</v>
      </c>
      <c r="JK79">
        <v>1.7529999999999999</v>
      </c>
      <c r="JL79">
        <v>6.6660000000000004</v>
      </c>
      <c r="JM79">
        <v>6.2</v>
      </c>
      <c r="JN79">
        <v>6.3959999999999999</v>
      </c>
      <c r="JO79">
        <v>6.8010000000000002</v>
      </c>
      <c r="JP79">
        <v>2.3690000000000002</v>
      </c>
      <c r="JQ79">
        <v>6.141</v>
      </c>
      <c r="JR79">
        <v>6.65</v>
      </c>
      <c r="JS79">
        <v>7.1310000000000002</v>
      </c>
      <c r="JT79">
        <v>6.4859999999999998</v>
      </c>
      <c r="JU79">
        <v>6.843</v>
      </c>
      <c r="JV79">
        <v>6.2939999999999996</v>
      </c>
      <c r="JW79">
        <v>7.508</v>
      </c>
      <c r="JX79">
        <v>6.4320000000000004</v>
      </c>
      <c r="JY79">
        <v>3.09</v>
      </c>
      <c r="JZ79">
        <v>0.90100000000000002</v>
      </c>
      <c r="KA79">
        <v>5.6479999999999997</v>
      </c>
      <c r="KB79">
        <v>6.4279999999999999</v>
      </c>
      <c r="KC79">
        <v>6.7629999999999999</v>
      </c>
      <c r="KD79">
        <v>6.4320000000000004</v>
      </c>
      <c r="KE79">
        <v>3.5369999999999999</v>
      </c>
      <c r="KF79">
        <v>1.19</v>
      </c>
      <c r="KG79">
        <v>7.6130000000000004</v>
      </c>
      <c r="KH79">
        <v>7.3620000000000001</v>
      </c>
      <c r="KI79">
        <v>6.7359999999999998</v>
      </c>
      <c r="KJ79">
        <v>6.8280000000000003</v>
      </c>
      <c r="KK79">
        <v>6.8689999999999998</v>
      </c>
      <c r="KL79">
        <v>3.3730000000000002</v>
      </c>
      <c r="KM79">
        <v>2.077</v>
      </c>
      <c r="KN79">
        <v>6.0060000000000002</v>
      </c>
      <c r="KO79">
        <v>5.16</v>
      </c>
      <c r="KP79">
        <v>4.4720000000000004</v>
      </c>
      <c r="KQ79">
        <v>0.123</v>
      </c>
      <c r="KR79">
        <v>4.0000000000000001E-3</v>
      </c>
    </row>
    <row r="80" spans="1:304" x14ac:dyDescent="0.25">
      <c r="A80">
        <v>2020</v>
      </c>
      <c r="B80">
        <v>5</v>
      </c>
      <c r="C80">
        <v>1.395</v>
      </c>
      <c r="D80">
        <v>9.5749999999999993</v>
      </c>
      <c r="E80">
        <v>9.8919999999999995</v>
      </c>
      <c r="F80">
        <v>9.5419999999999998</v>
      </c>
      <c r="G80">
        <v>9.2669999999999995</v>
      </c>
      <c r="H80">
        <v>9.3510000000000009</v>
      </c>
      <c r="I80">
        <v>2.895</v>
      </c>
      <c r="J80">
        <v>3.6680000000000001</v>
      </c>
      <c r="K80">
        <v>8.9250000000000007</v>
      </c>
      <c r="L80">
        <v>9.16</v>
      </c>
      <c r="M80">
        <v>8.3249999999999993</v>
      </c>
      <c r="N80">
        <v>9.4469999999999992</v>
      </c>
      <c r="O80">
        <v>6.0419999999999998</v>
      </c>
      <c r="P80">
        <v>10.571999999999999</v>
      </c>
      <c r="Q80">
        <v>6.6260000000000003</v>
      </c>
      <c r="R80">
        <v>9.1950000000000003</v>
      </c>
      <c r="S80">
        <v>7.6970000000000001</v>
      </c>
      <c r="T80">
        <v>10.257999999999999</v>
      </c>
      <c r="U80">
        <v>8.0030000000000001</v>
      </c>
      <c r="V80">
        <v>8.8490000000000002</v>
      </c>
      <c r="W80">
        <v>8.984</v>
      </c>
      <c r="X80">
        <v>9.9009999999999998</v>
      </c>
      <c r="Y80">
        <v>10.521000000000001</v>
      </c>
      <c r="Z80">
        <v>5.4139999999999997</v>
      </c>
      <c r="AA80">
        <v>11.250999999999999</v>
      </c>
      <c r="AB80">
        <v>10.186</v>
      </c>
      <c r="AC80">
        <v>8.7010000000000005</v>
      </c>
      <c r="AD80">
        <v>9.2620000000000005</v>
      </c>
      <c r="AE80">
        <v>9.4060000000000006</v>
      </c>
      <c r="AF80">
        <v>8.9489999999999998</v>
      </c>
      <c r="AG80">
        <v>7.2839999999999998</v>
      </c>
      <c r="AH80">
        <v>5.1040000000000001</v>
      </c>
      <c r="AI80">
        <v>6.992</v>
      </c>
      <c r="AJ80">
        <v>8.9629999999999992</v>
      </c>
      <c r="AK80">
        <v>9.4410000000000007</v>
      </c>
      <c r="AL80">
        <v>9.0429999999999993</v>
      </c>
      <c r="AM80">
        <v>9.2780000000000005</v>
      </c>
      <c r="AN80">
        <v>10.632999999999999</v>
      </c>
      <c r="AO80">
        <v>9.6509999999999998</v>
      </c>
      <c r="AP80">
        <v>8.4139999999999997</v>
      </c>
      <c r="AQ80">
        <v>10.06</v>
      </c>
      <c r="AR80">
        <v>8.859</v>
      </c>
      <c r="AS80">
        <v>10.84</v>
      </c>
      <c r="AT80">
        <v>8.2010000000000005</v>
      </c>
      <c r="AU80">
        <v>8.2309999999999999</v>
      </c>
      <c r="AV80">
        <v>7.968</v>
      </c>
      <c r="AW80">
        <v>9.4329999999999998</v>
      </c>
      <c r="AX80">
        <v>9.2669999999999995</v>
      </c>
      <c r="AY80">
        <v>9.39</v>
      </c>
      <c r="AZ80">
        <v>5.1609999999999996</v>
      </c>
      <c r="BA80">
        <v>9.5489999999999995</v>
      </c>
      <c r="BB80">
        <v>4.62</v>
      </c>
      <c r="BC80">
        <v>7.6050000000000004</v>
      </c>
      <c r="BD80">
        <v>9.1839999999999993</v>
      </c>
      <c r="BE80">
        <v>8.9879999999999995</v>
      </c>
      <c r="BF80">
        <v>9.8040000000000003</v>
      </c>
      <c r="BG80">
        <v>4.3310000000000004</v>
      </c>
      <c r="BH80">
        <v>3.766</v>
      </c>
      <c r="BI80">
        <v>8.0220000000000002</v>
      </c>
      <c r="BJ80">
        <v>10.275</v>
      </c>
      <c r="BK80">
        <v>9.6829999999999998</v>
      </c>
      <c r="BL80">
        <v>9.3010000000000002</v>
      </c>
      <c r="BM80">
        <v>8.0850000000000009</v>
      </c>
      <c r="BN80">
        <v>9.2460000000000004</v>
      </c>
      <c r="BO80">
        <v>8.9130000000000003</v>
      </c>
      <c r="BP80">
        <v>10.237</v>
      </c>
      <c r="BQ80">
        <v>5.9610000000000003</v>
      </c>
      <c r="BR80">
        <v>8.625</v>
      </c>
      <c r="BS80">
        <v>8.6080000000000005</v>
      </c>
      <c r="BT80">
        <v>5.8330000000000002</v>
      </c>
      <c r="BU80">
        <v>4.7119999999999997</v>
      </c>
      <c r="BV80">
        <v>8.2089999999999996</v>
      </c>
      <c r="BW80">
        <v>10.808999999999999</v>
      </c>
      <c r="BX80">
        <v>1.474</v>
      </c>
      <c r="BY80">
        <v>9.359</v>
      </c>
      <c r="BZ80">
        <v>9.3230000000000004</v>
      </c>
      <c r="CA80">
        <v>8.9</v>
      </c>
      <c r="CB80">
        <v>7.9219999999999997</v>
      </c>
      <c r="CC80">
        <v>9.2609999999999992</v>
      </c>
      <c r="CD80">
        <v>9.0640000000000001</v>
      </c>
      <c r="CE80">
        <v>7.5990000000000002</v>
      </c>
      <c r="CF80">
        <v>9.4450000000000003</v>
      </c>
      <c r="CG80">
        <v>9.24</v>
      </c>
      <c r="CH80">
        <v>8.15</v>
      </c>
      <c r="CI80">
        <v>7.0069999999999997</v>
      </c>
      <c r="CJ80">
        <v>9.9540000000000006</v>
      </c>
      <c r="CK80">
        <v>9.7420000000000009</v>
      </c>
      <c r="CL80">
        <v>10.670999999999999</v>
      </c>
      <c r="CM80">
        <v>10.01</v>
      </c>
      <c r="CN80">
        <v>10.164</v>
      </c>
      <c r="CO80">
        <v>10.163</v>
      </c>
      <c r="CP80">
        <v>4.5869999999999997</v>
      </c>
      <c r="CQ80">
        <v>5.915</v>
      </c>
      <c r="CR80">
        <v>9.5530000000000008</v>
      </c>
      <c r="CS80">
        <v>9.2720000000000002</v>
      </c>
      <c r="CT80">
        <v>6.0439999999999996</v>
      </c>
      <c r="CU80">
        <v>10.109</v>
      </c>
      <c r="CV80">
        <v>2.7309999999999999</v>
      </c>
      <c r="CW80">
        <v>9.14</v>
      </c>
      <c r="CX80">
        <v>10.002000000000001</v>
      </c>
      <c r="CY80">
        <v>8.65</v>
      </c>
      <c r="CZ80">
        <v>10.226000000000001</v>
      </c>
      <c r="DA80">
        <v>9.0169999999999995</v>
      </c>
      <c r="DB80">
        <v>9.2880000000000003</v>
      </c>
      <c r="DC80">
        <v>9.3469999999999995</v>
      </c>
      <c r="DD80">
        <v>9.4619999999999997</v>
      </c>
      <c r="DE80">
        <v>2.8959999999999999</v>
      </c>
      <c r="DF80">
        <v>9.1289999999999996</v>
      </c>
      <c r="DG80">
        <v>10.119999999999999</v>
      </c>
      <c r="DH80">
        <v>8.7520000000000007</v>
      </c>
      <c r="DI80">
        <v>7.7919999999999998</v>
      </c>
      <c r="DJ80">
        <v>6.819</v>
      </c>
      <c r="DK80">
        <v>10.648</v>
      </c>
      <c r="DL80">
        <v>8.875</v>
      </c>
      <c r="DM80">
        <v>9.3320000000000007</v>
      </c>
      <c r="DN80">
        <v>10.119</v>
      </c>
      <c r="DO80">
        <v>9.32</v>
      </c>
      <c r="DP80">
        <v>9.9640000000000004</v>
      </c>
      <c r="DQ80">
        <v>2.9510000000000001</v>
      </c>
      <c r="DR80">
        <v>10.984</v>
      </c>
      <c r="DS80">
        <v>9.1690000000000005</v>
      </c>
      <c r="DT80">
        <v>10.183</v>
      </c>
      <c r="DU80">
        <v>10.88</v>
      </c>
      <c r="DV80">
        <v>9.2319999999999993</v>
      </c>
      <c r="DW80">
        <v>9.1769999999999996</v>
      </c>
      <c r="DX80">
        <v>7.6820000000000004</v>
      </c>
      <c r="DY80">
        <v>9.6189999999999998</v>
      </c>
      <c r="DZ80">
        <v>9.1859999999999999</v>
      </c>
      <c r="EA80">
        <v>9.3030000000000008</v>
      </c>
      <c r="EB80">
        <v>9.99</v>
      </c>
      <c r="EC80">
        <v>9.8369999999999997</v>
      </c>
      <c r="ED80">
        <v>8.7110000000000003</v>
      </c>
      <c r="EE80">
        <v>9.8390000000000004</v>
      </c>
      <c r="EF80">
        <v>9.3989999999999991</v>
      </c>
      <c r="EG80">
        <v>7.0910000000000002</v>
      </c>
      <c r="EH80">
        <v>11.244999999999999</v>
      </c>
      <c r="EI80">
        <v>8.0470000000000006</v>
      </c>
      <c r="EJ80">
        <v>6.5190000000000001</v>
      </c>
      <c r="EK80">
        <v>11.034000000000001</v>
      </c>
      <c r="EL80">
        <v>5.5010000000000003</v>
      </c>
      <c r="EM80">
        <v>10.041</v>
      </c>
      <c r="EN80">
        <v>9.234</v>
      </c>
      <c r="EO80">
        <v>11.263999999999999</v>
      </c>
      <c r="EP80">
        <v>6.7229999999999999</v>
      </c>
      <c r="EQ80">
        <v>4.069</v>
      </c>
      <c r="ER80">
        <v>9.4589999999999996</v>
      </c>
      <c r="ES80">
        <v>9.5129999999999999</v>
      </c>
      <c r="ET80">
        <v>9.6210000000000004</v>
      </c>
      <c r="EU80">
        <v>9.5990000000000002</v>
      </c>
      <c r="EV80">
        <v>7.7039999999999997</v>
      </c>
      <c r="EW80">
        <v>9.4610000000000003</v>
      </c>
      <c r="EX80">
        <v>9.8510000000000009</v>
      </c>
      <c r="EY80">
        <v>8.3840000000000003</v>
      </c>
      <c r="EZ80">
        <v>8.69</v>
      </c>
      <c r="FA80">
        <v>10.141</v>
      </c>
      <c r="FB80">
        <v>10.19</v>
      </c>
      <c r="FC80">
        <v>10.138999999999999</v>
      </c>
      <c r="FD80">
        <v>9.3360000000000003</v>
      </c>
      <c r="FE80">
        <v>8.6120000000000001</v>
      </c>
      <c r="FF80">
        <v>8.3450000000000006</v>
      </c>
      <c r="FG80">
        <v>7.0890000000000004</v>
      </c>
      <c r="FH80">
        <v>6.8070000000000004</v>
      </c>
      <c r="FI80">
        <v>9.6989999999999998</v>
      </c>
      <c r="FJ80">
        <v>8.18</v>
      </c>
      <c r="FK80">
        <v>4.8890000000000002</v>
      </c>
      <c r="FL80">
        <v>9.8810000000000002</v>
      </c>
      <c r="FM80">
        <v>9.0609999999999999</v>
      </c>
      <c r="FN80">
        <v>9.4280000000000008</v>
      </c>
      <c r="FO80">
        <v>8.5310000000000006</v>
      </c>
      <c r="FP80">
        <v>8.7100000000000009</v>
      </c>
      <c r="FQ80">
        <v>7.6929999999999996</v>
      </c>
      <c r="FR80">
        <v>9.8190000000000008</v>
      </c>
      <c r="FS80">
        <v>7.2859999999999996</v>
      </c>
      <c r="FT80">
        <v>10.103999999999999</v>
      </c>
      <c r="FU80">
        <v>9.4640000000000004</v>
      </c>
      <c r="FV80">
        <v>9.8320000000000007</v>
      </c>
      <c r="FW80">
        <v>9.23</v>
      </c>
      <c r="FX80">
        <v>5.5049999999999999</v>
      </c>
      <c r="FY80">
        <v>9.9469999999999992</v>
      </c>
      <c r="FZ80">
        <v>6.6539999999999999</v>
      </c>
      <c r="GA80">
        <v>0.69899999999999995</v>
      </c>
      <c r="GB80">
        <v>6.5519999999999996</v>
      </c>
      <c r="GC80">
        <v>9.9489999999999998</v>
      </c>
      <c r="GD80">
        <v>7.3639999999999999</v>
      </c>
      <c r="GE80">
        <v>8.3520000000000003</v>
      </c>
      <c r="GF80">
        <v>9.35</v>
      </c>
      <c r="GG80">
        <v>8.3989999999999991</v>
      </c>
      <c r="GH80">
        <v>9.0449999999999999</v>
      </c>
      <c r="GI80">
        <v>10.337999999999999</v>
      </c>
      <c r="GJ80">
        <v>10.446999999999999</v>
      </c>
      <c r="GK80">
        <v>9.5670000000000002</v>
      </c>
      <c r="GL80">
        <v>6.7560000000000002</v>
      </c>
      <c r="GM80">
        <v>8.327</v>
      </c>
      <c r="GN80">
        <v>10.430999999999999</v>
      </c>
      <c r="GO80">
        <v>7.8040000000000003</v>
      </c>
      <c r="GP80">
        <v>9.2590000000000003</v>
      </c>
      <c r="GQ80">
        <v>8.1820000000000004</v>
      </c>
      <c r="GR80">
        <v>6.3109999999999999</v>
      </c>
      <c r="GS80">
        <v>9.3879999999999999</v>
      </c>
      <c r="GT80">
        <v>9.5660000000000007</v>
      </c>
      <c r="GU80">
        <v>4.0030000000000001</v>
      </c>
      <c r="GV80">
        <v>9.8640000000000008</v>
      </c>
      <c r="GW80">
        <v>10.978999999999999</v>
      </c>
      <c r="GX80">
        <v>9.9290000000000003</v>
      </c>
      <c r="GY80">
        <v>9.4329999999999998</v>
      </c>
      <c r="GZ80">
        <v>9.6120000000000001</v>
      </c>
      <c r="HA80">
        <v>8.6140000000000008</v>
      </c>
      <c r="HB80">
        <v>2.1960000000000002</v>
      </c>
      <c r="HC80">
        <v>4.0670000000000002</v>
      </c>
      <c r="HD80">
        <v>9.27</v>
      </c>
      <c r="HE80">
        <v>10.06</v>
      </c>
      <c r="HF80">
        <v>5</v>
      </c>
      <c r="HG80">
        <v>9.5679999999999996</v>
      </c>
      <c r="HH80">
        <v>7.2709999999999999</v>
      </c>
      <c r="HI80">
        <v>8.5500000000000007</v>
      </c>
      <c r="HJ80">
        <v>8.6289999999999996</v>
      </c>
      <c r="HK80">
        <v>10.602</v>
      </c>
      <c r="HL80">
        <v>10.85</v>
      </c>
      <c r="HM80">
        <v>5.6449999999999996</v>
      </c>
      <c r="HN80">
        <v>8.968</v>
      </c>
      <c r="HO80">
        <v>5.5250000000000004</v>
      </c>
      <c r="HP80">
        <v>9.7799999999999994</v>
      </c>
      <c r="HQ80">
        <v>9.4339999999999993</v>
      </c>
      <c r="HR80">
        <v>5.2530000000000001</v>
      </c>
      <c r="HS80">
        <v>4.9109999999999996</v>
      </c>
      <c r="HT80">
        <v>8.0920000000000005</v>
      </c>
      <c r="HU80">
        <v>8.9039999999999999</v>
      </c>
      <c r="HV80">
        <v>7.5819999999999999</v>
      </c>
      <c r="HW80">
        <v>9.6980000000000004</v>
      </c>
      <c r="HX80">
        <v>9.19</v>
      </c>
      <c r="HY80">
        <v>10.406000000000001</v>
      </c>
      <c r="HZ80">
        <v>9.8629999999999995</v>
      </c>
      <c r="IA80">
        <v>9.4440000000000008</v>
      </c>
      <c r="IB80">
        <v>9.125</v>
      </c>
      <c r="IC80">
        <v>8.1349999999999998</v>
      </c>
      <c r="ID80">
        <v>7.0540000000000003</v>
      </c>
      <c r="IE80">
        <v>9.41</v>
      </c>
      <c r="IF80">
        <v>9.8650000000000002</v>
      </c>
      <c r="IG80">
        <v>10.394</v>
      </c>
      <c r="IH80">
        <v>8.5350000000000001</v>
      </c>
      <c r="II80">
        <v>10.222</v>
      </c>
      <c r="IJ80">
        <v>8.9030000000000005</v>
      </c>
      <c r="IK80">
        <v>9.3070000000000004</v>
      </c>
      <c r="IL80">
        <v>10.706</v>
      </c>
      <c r="IM80">
        <v>9.8810000000000002</v>
      </c>
      <c r="IN80">
        <v>8.9339999999999993</v>
      </c>
      <c r="IO80">
        <v>8.9740000000000002</v>
      </c>
      <c r="IP80">
        <v>9.2509999999999994</v>
      </c>
      <c r="IQ80">
        <v>3.3180000000000001</v>
      </c>
      <c r="IR80">
        <v>8.3770000000000007</v>
      </c>
      <c r="IS80">
        <v>9.5380000000000003</v>
      </c>
      <c r="IT80">
        <v>9.9870000000000001</v>
      </c>
      <c r="IU80">
        <v>9.4030000000000005</v>
      </c>
      <c r="IV80">
        <v>8.6219999999999999</v>
      </c>
      <c r="IW80">
        <v>6.8330000000000002</v>
      </c>
      <c r="IX80">
        <v>9.3780000000000001</v>
      </c>
      <c r="IY80">
        <v>9.1120000000000001</v>
      </c>
      <c r="IZ80">
        <v>8.8170000000000002</v>
      </c>
      <c r="JA80">
        <v>9.3279999999999994</v>
      </c>
      <c r="JB80">
        <v>9.0489999999999995</v>
      </c>
      <c r="JC80">
        <v>9.577</v>
      </c>
      <c r="JD80">
        <v>8.5259999999999998</v>
      </c>
      <c r="JE80">
        <v>7.42</v>
      </c>
      <c r="JF80">
        <v>9.7249999999999996</v>
      </c>
      <c r="JG80">
        <v>10.034000000000001</v>
      </c>
      <c r="JH80">
        <v>9.1170000000000009</v>
      </c>
      <c r="JI80">
        <v>4.5960000000000001</v>
      </c>
      <c r="JJ80">
        <v>9.3510000000000009</v>
      </c>
      <c r="JK80">
        <v>5.8339999999999996</v>
      </c>
      <c r="JL80">
        <v>9.2910000000000004</v>
      </c>
      <c r="JM80">
        <v>8.9789999999999992</v>
      </c>
      <c r="JN80">
        <v>9.375</v>
      </c>
      <c r="JO80">
        <v>9.8469999999999995</v>
      </c>
      <c r="JP80">
        <v>6.3170000000000002</v>
      </c>
      <c r="JQ80">
        <v>8.9160000000000004</v>
      </c>
      <c r="JR80">
        <v>9.3849999999999998</v>
      </c>
      <c r="JS80">
        <v>9.766</v>
      </c>
      <c r="JT80">
        <v>9.1059999999999999</v>
      </c>
      <c r="JU80">
        <v>9.3309999999999995</v>
      </c>
      <c r="JV80">
        <v>8.8650000000000002</v>
      </c>
      <c r="JW80">
        <v>10.262</v>
      </c>
      <c r="JX80">
        <v>9.4049999999999994</v>
      </c>
      <c r="JY80">
        <v>6.2539999999999996</v>
      </c>
      <c r="JZ80">
        <v>3.5790000000000002</v>
      </c>
      <c r="KA80">
        <v>8.7690000000000001</v>
      </c>
      <c r="KB80">
        <v>8.9990000000000006</v>
      </c>
      <c r="KC80">
        <v>9.3719999999999999</v>
      </c>
      <c r="KD80">
        <v>9.16</v>
      </c>
      <c r="KE80">
        <v>6.3949999999999996</v>
      </c>
      <c r="KF80">
        <v>6.2480000000000002</v>
      </c>
      <c r="KG80">
        <v>10.446999999999999</v>
      </c>
      <c r="KH80">
        <v>10.061999999999999</v>
      </c>
      <c r="KI80">
        <v>9.2309999999999999</v>
      </c>
      <c r="KJ80">
        <v>9.4550000000000001</v>
      </c>
      <c r="KK80">
        <v>9.7170000000000005</v>
      </c>
      <c r="KL80">
        <v>6.8449999999999998</v>
      </c>
      <c r="KM80">
        <v>5.3239999999999998</v>
      </c>
      <c r="KN80">
        <v>8.8539999999999992</v>
      </c>
      <c r="KO80">
        <v>7.718</v>
      </c>
      <c r="KP80">
        <v>7.7649999999999997</v>
      </c>
      <c r="KQ80">
        <v>6.2229999999999999</v>
      </c>
      <c r="KR80">
        <v>6.2439999999999998</v>
      </c>
    </row>
    <row r="81" spans="1:304" x14ac:dyDescent="0.25">
      <c r="A81">
        <v>2020</v>
      </c>
      <c r="B81">
        <v>6</v>
      </c>
      <c r="C81">
        <v>10.215</v>
      </c>
      <c r="D81">
        <v>18.369</v>
      </c>
      <c r="E81">
        <v>17.800999999999998</v>
      </c>
      <c r="F81">
        <v>17.282</v>
      </c>
      <c r="G81">
        <v>16.489000000000001</v>
      </c>
      <c r="H81">
        <v>18.256</v>
      </c>
      <c r="I81">
        <v>14.45</v>
      </c>
      <c r="J81">
        <v>15.398999999999999</v>
      </c>
      <c r="K81">
        <v>17.545999999999999</v>
      </c>
      <c r="L81">
        <v>17.602</v>
      </c>
      <c r="M81">
        <v>17.940999999999999</v>
      </c>
      <c r="N81">
        <v>17.614000000000001</v>
      </c>
      <c r="O81">
        <v>16.829999999999998</v>
      </c>
      <c r="P81">
        <v>17.524000000000001</v>
      </c>
      <c r="Q81">
        <v>16.882999999999999</v>
      </c>
      <c r="R81">
        <v>16.972000000000001</v>
      </c>
      <c r="S81">
        <v>17.725000000000001</v>
      </c>
      <c r="T81">
        <v>16.097999999999999</v>
      </c>
      <c r="U81">
        <v>17.600000000000001</v>
      </c>
      <c r="V81">
        <v>16.757000000000001</v>
      </c>
      <c r="W81">
        <v>17.643999999999998</v>
      </c>
      <c r="X81">
        <v>16.893000000000001</v>
      </c>
      <c r="Y81">
        <v>17.013999999999999</v>
      </c>
      <c r="Z81">
        <v>16.466000000000001</v>
      </c>
      <c r="AA81">
        <v>17.626999999999999</v>
      </c>
      <c r="AB81">
        <v>17.23</v>
      </c>
      <c r="AC81">
        <v>17.478000000000002</v>
      </c>
      <c r="AD81">
        <v>17.402000000000001</v>
      </c>
      <c r="AE81">
        <v>18.146999999999998</v>
      </c>
      <c r="AF81">
        <v>17.719000000000001</v>
      </c>
      <c r="AG81">
        <v>17.254999999999999</v>
      </c>
      <c r="AH81">
        <v>16.945</v>
      </c>
      <c r="AI81">
        <v>17.114999999999998</v>
      </c>
      <c r="AJ81">
        <v>16.227</v>
      </c>
      <c r="AK81">
        <v>16.335999999999999</v>
      </c>
      <c r="AL81">
        <v>17.975000000000001</v>
      </c>
      <c r="AM81">
        <v>18.004999999999999</v>
      </c>
      <c r="AN81">
        <v>17.254000000000001</v>
      </c>
      <c r="AO81">
        <v>17.318999999999999</v>
      </c>
      <c r="AP81">
        <v>17.962</v>
      </c>
      <c r="AQ81">
        <v>17.3</v>
      </c>
      <c r="AR81">
        <v>16.821999999999999</v>
      </c>
      <c r="AS81">
        <v>16.771000000000001</v>
      </c>
      <c r="AT81">
        <v>17.983000000000001</v>
      </c>
      <c r="AU81">
        <v>17.486000000000001</v>
      </c>
      <c r="AV81">
        <v>17.489999999999998</v>
      </c>
      <c r="AW81">
        <v>17.417000000000002</v>
      </c>
      <c r="AX81">
        <v>17.742000000000001</v>
      </c>
      <c r="AY81">
        <v>18.187000000000001</v>
      </c>
      <c r="AZ81">
        <v>16.302</v>
      </c>
      <c r="BA81">
        <v>17.516999999999999</v>
      </c>
      <c r="BB81">
        <v>16.443999999999999</v>
      </c>
      <c r="BC81">
        <v>17.318999999999999</v>
      </c>
      <c r="BD81">
        <v>16.824999999999999</v>
      </c>
      <c r="BE81">
        <v>17.57</v>
      </c>
      <c r="BF81">
        <v>17.311</v>
      </c>
      <c r="BG81">
        <v>16.027999999999999</v>
      </c>
      <c r="BH81">
        <v>14.53</v>
      </c>
      <c r="BI81">
        <v>17.190999999999999</v>
      </c>
      <c r="BJ81">
        <v>18.082999999999998</v>
      </c>
      <c r="BK81">
        <v>17.667999999999999</v>
      </c>
      <c r="BL81">
        <v>18.248999999999999</v>
      </c>
      <c r="BM81">
        <v>17.465</v>
      </c>
      <c r="BN81">
        <v>17.783999999999999</v>
      </c>
      <c r="BO81">
        <v>18.074999999999999</v>
      </c>
      <c r="BP81">
        <v>17.63</v>
      </c>
      <c r="BQ81">
        <v>16.821000000000002</v>
      </c>
      <c r="BR81">
        <v>16.847999999999999</v>
      </c>
      <c r="BS81">
        <v>16.957999999999998</v>
      </c>
      <c r="BT81">
        <v>16.021000000000001</v>
      </c>
      <c r="BU81">
        <v>16.260999999999999</v>
      </c>
      <c r="BV81">
        <v>17.852</v>
      </c>
      <c r="BW81">
        <v>17.588000000000001</v>
      </c>
      <c r="BX81">
        <v>11.807</v>
      </c>
      <c r="BY81">
        <v>16.524999999999999</v>
      </c>
      <c r="BZ81">
        <v>16.981000000000002</v>
      </c>
      <c r="CA81">
        <v>16.186</v>
      </c>
      <c r="CB81">
        <v>17.562999999999999</v>
      </c>
      <c r="CC81">
        <v>17.812000000000001</v>
      </c>
      <c r="CD81">
        <v>17.699000000000002</v>
      </c>
      <c r="CE81">
        <v>16.93</v>
      </c>
      <c r="CF81">
        <v>16.338000000000001</v>
      </c>
      <c r="CG81">
        <v>16.835999999999999</v>
      </c>
      <c r="CH81">
        <v>17.466999999999999</v>
      </c>
      <c r="CI81">
        <v>15.99</v>
      </c>
      <c r="CJ81">
        <v>17.837</v>
      </c>
      <c r="CK81">
        <v>16.501999999999999</v>
      </c>
      <c r="CL81">
        <v>17.298999999999999</v>
      </c>
      <c r="CM81">
        <v>16.556000000000001</v>
      </c>
      <c r="CN81">
        <v>16.841999999999999</v>
      </c>
      <c r="CO81">
        <v>16.905999999999999</v>
      </c>
      <c r="CP81">
        <v>16.097000000000001</v>
      </c>
      <c r="CQ81">
        <v>17.564</v>
      </c>
      <c r="CR81">
        <v>18.335999999999999</v>
      </c>
      <c r="CS81">
        <v>16.689</v>
      </c>
      <c r="CT81">
        <v>16.238</v>
      </c>
      <c r="CU81">
        <v>16.228000000000002</v>
      </c>
      <c r="CV81">
        <v>13.112</v>
      </c>
      <c r="CW81">
        <v>16.725000000000001</v>
      </c>
      <c r="CX81">
        <v>16.582000000000001</v>
      </c>
      <c r="CY81">
        <v>17.452000000000002</v>
      </c>
      <c r="CZ81">
        <v>16.922999999999998</v>
      </c>
      <c r="DA81">
        <v>17.536000000000001</v>
      </c>
      <c r="DB81">
        <v>17.72</v>
      </c>
      <c r="DC81">
        <v>18.018000000000001</v>
      </c>
      <c r="DD81">
        <v>17.329999999999998</v>
      </c>
      <c r="DE81">
        <v>13.622999999999999</v>
      </c>
      <c r="DF81">
        <v>16.626000000000001</v>
      </c>
      <c r="DG81">
        <v>17.122</v>
      </c>
      <c r="DH81">
        <v>17.698</v>
      </c>
      <c r="DI81">
        <v>17.23</v>
      </c>
      <c r="DJ81">
        <v>16.963999999999999</v>
      </c>
      <c r="DK81">
        <v>17.021999999999998</v>
      </c>
      <c r="DL81">
        <v>17.649999999999999</v>
      </c>
      <c r="DM81">
        <v>17.858000000000001</v>
      </c>
      <c r="DN81">
        <v>17.856000000000002</v>
      </c>
      <c r="DO81">
        <v>18.170000000000002</v>
      </c>
      <c r="DP81">
        <v>17.899999999999999</v>
      </c>
      <c r="DQ81">
        <v>13.327</v>
      </c>
      <c r="DR81">
        <v>17.571000000000002</v>
      </c>
      <c r="DS81">
        <v>18.143999999999998</v>
      </c>
      <c r="DT81">
        <v>17.346</v>
      </c>
      <c r="DU81">
        <v>17.524000000000001</v>
      </c>
      <c r="DV81">
        <v>17.844999999999999</v>
      </c>
      <c r="DW81">
        <v>17.777000000000001</v>
      </c>
      <c r="DX81">
        <v>17.611999999999998</v>
      </c>
      <c r="DY81">
        <v>17.407</v>
      </c>
      <c r="DZ81">
        <v>16.245000000000001</v>
      </c>
      <c r="EA81">
        <v>18.007999999999999</v>
      </c>
      <c r="EB81">
        <v>17.643000000000001</v>
      </c>
      <c r="EC81">
        <v>17.672999999999998</v>
      </c>
      <c r="ED81">
        <v>17.808</v>
      </c>
      <c r="EE81">
        <v>17.542000000000002</v>
      </c>
      <c r="EF81">
        <v>16.756</v>
      </c>
      <c r="EG81">
        <v>17.323</v>
      </c>
      <c r="EH81">
        <v>17.635000000000002</v>
      </c>
      <c r="EI81">
        <v>17.596</v>
      </c>
      <c r="EJ81">
        <v>16.399999999999999</v>
      </c>
      <c r="EK81">
        <v>17.498000000000001</v>
      </c>
      <c r="EL81">
        <v>16.885999999999999</v>
      </c>
      <c r="EM81">
        <v>17.707000000000001</v>
      </c>
      <c r="EN81">
        <v>16.895</v>
      </c>
      <c r="EO81">
        <v>17.629000000000001</v>
      </c>
      <c r="EP81">
        <v>16.312999999999999</v>
      </c>
      <c r="EQ81">
        <v>15.786</v>
      </c>
      <c r="ER81">
        <v>17.565000000000001</v>
      </c>
      <c r="ES81">
        <v>16.701000000000001</v>
      </c>
      <c r="ET81">
        <v>17.085000000000001</v>
      </c>
      <c r="EU81">
        <v>17.338000000000001</v>
      </c>
      <c r="EV81">
        <v>18.132999999999999</v>
      </c>
      <c r="EW81">
        <v>17.437000000000001</v>
      </c>
      <c r="EX81">
        <v>17.920999999999999</v>
      </c>
      <c r="EY81">
        <v>17.545000000000002</v>
      </c>
      <c r="EZ81">
        <v>17.864000000000001</v>
      </c>
      <c r="FA81">
        <v>17.995999999999999</v>
      </c>
      <c r="FB81">
        <v>16.123000000000001</v>
      </c>
      <c r="FC81">
        <v>16.285</v>
      </c>
      <c r="FD81">
        <v>18.013999999999999</v>
      </c>
      <c r="FE81">
        <v>17.588000000000001</v>
      </c>
      <c r="FF81">
        <v>17.95</v>
      </c>
      <c r="FG81">
        <v>16.931999999999999</v>
      </c>
      <c r="FH81">
        <v>16.337</v>
      </c>
      <c r="FI81">
        <v>17.513000000000002</v>
      </c>
      <c r="FJ81">
        <v>17.042000000000002</v>
      </c>
      <c r="FK81">
        <v>16.239999999999998</v>
      </c>
      <c r="FL81">
        <v>16.436</v>
      </c>
      <c r="FM81">
        <v>17.79</v>
      </c>
      <c r="FN81">
        <v>17.364000000000001</v>
      </c>
      <c r="FO81">
        <v>16.13</v>
      </c>
      <c r="FP81">
        <v>16.123999999999999</v>
      </c>
      <c r="FQ81">
        <v>17.439</v>
      </c>
      <c r="FR81">
        <v>16.872</v>
      </c>
      <c r="FS81">
        <v>17.927</v>
      </c>
      <c r="FT81">
        <v>18.018999999999998</v>
      </c>
      <c r="FU81">
        <v>16.574999999999999</v>
      </c>
      <c r="FV81">
        <v>15.916</v>
      </c>
      <c r="FW81">
        <v>16.646000000000001</v>
      </c>
      <c r="FX81">
        <v>15.504</v>
      </c>
      <c r="FY81">
        <v>17.826000000000001</v>
      </c>
      <c r="FZ81">
        <v>16.577000000000002</v>
      </c>
      <c r="GA81">
        <v>9.5820000000000007</v>
      </c>
      <c r="GB81">
        <v>16.672999999999998</v>
      </c>
      <c r="GC81">
        <v>16.684000000000001</v>
      </c>
      <c r="GD81">
        <v>17.64</v>
      </c>
      <c r="GE81">
        <v>17.611000000000001</v>
      </c>
      <c r="GF81">
        <v>18.079999999999998</v>
      </c>
      <c r="GG81">
        <v>17.797000000000001</v>
      </c>
      <c r="GH81">
        <v>17.95</v>
      </c>
      <c r="GI81">
        <v>15.851000000000001</v>
      </c>
      <c r="GJ81">
        <v>16.853000000000002</v>
      </c>
      <c r="GK81">
        <v>17.550999999999998</v>
      </c>
      <c r="GL81">
        <v>16.870999999999999</v>
      </c>
      <c r="GM81">
        <v>17.808</v>
      </c>
      <c r="GN81">
        <v>16.734999999999999</v>
      </c>
      <c r="GO81">
        <v>16.838000000000001</v>
      </c>
      <c r="GP81">
        <v>17.329999999999998</v>
      </c>
      <c r="GQ81">
        <v>17.763999999999999</v>
      </c>
      <c r="GR81">
        <v>17.001999999999999</v>
      </c>
      <c r="GS81">
        <v>18.167000000000002</v>
      </c>
      <c r="GT81">
        <v>18.315000000000001</v>
      </c>
      <c r="GU81">
        <v>16.216000000000001</v>
      </c>
      <c r="GV81">
        <v>17.300999999999998</v>
      </c>
      <c r="GW81">
        <v>17.372</v>
      </c>
      <c r="GX81">
        <v>17.88</v>
      </c>
      <c r="GY81">
        <v>18.148</v>
      </c>
      <c r="GZ81">
        <v>18.373000000000001</v>
      </c>
      <c r="HA81">
        <v>17.692</v>
      </c>
      <c r="HB81">
        <v>14.013</v>
      </c>
      <c r="HC81">
        <v>15.776</v>
      </c>
      <c r="HD81">
        <v>18.184999999999999</v>
      </c>
      <c r="HE81">
        <v>18.087</v>
      </c>
      <c r="HF81">
        <v>16.516999999999999</v>
      </c>
      <c r="HG81">
        <v>18.329000000000001</v>
      </c>
      <c r="HH81">
        <v>16.876999999999999</v>
      </c>
      <c r="HI81">
        <v>17.324000000000002</v>
      </c>
      <c r="HJ81">
        <v>17.939</v>
      </c>
      <c r="HK81">
        <v>17.405000000000001</v>
      </c>
      <c r="HL81">
        <v>17.271999999999998</v>
      </c>
      <c r="HM81">
        <v>16.541</v>
      </c>
      <c r="HN81">
        <v>16.811</v>
      </c>
      <c r="HO81">
        <v>16.841999999999999</v>
      </c>
      <c r="HP81">
        <v>17.143999999999998</v>
      </c>
      <c r="HQ81">
        <v>17.355</v>
      </c>
      <c r="HR81">
        <v>15.654999999999999</v>
      </c>
      <c r="HS81">
        <v>16.280999999999999</v>
      </c>
      <c r="HT81">
        <v>17.689</v>
      </c>
      <c r="HU81">
        <v>16.079000000000001</v>
      </c>
      <c r="HV81">
        <v>16.722999999999999</v>
      </c>
      <c r="HW81">
        <v>17.363</v>
      </c>
      <c r="HX81">
        <v>17.914999999999999</v>
      </c>
      <c r="HY81">
        <v>16.66</v>
      </c>
      <c r="HZ81">
        <v>17.946999999999999</v>
      </c>
      <c r="IA81">
        <v>17.501999999999999</v>
      </c>
      <c r="IB81">
        <v>17.061</v>
      </c>
      <c r="IC81">
        <v>17.574999999999999</v>
      </c>
      <c r="ID81">
        <v>16.661999999999999</v>
      </c>
      <c r="IE81">
        <v>16.363</v>
      </c>
      <c r="IF81">
        <v>17.428000000000001</v>
      </c>
      <c r="IG81">
        <v>16.577999999999999</v>
      </c>
      <c r="IH81">
        <v>17.658999999999999</v>
      </c>
      <c r="II81">
        <v>16.425000000000001</v>
      </c>
      <c r="IJ81">
        <v>16.704000000000001</v>
      </c>
      <c r="IK81">
        <v>17.094999999999999</v>
      </c>
      <c r="IL81">
        <v>16.859000000000002</v>
      </c>
      <c r="IM81">
        <v>17.588999999999999</v>
      </c>
      <c r="IN81">
        <v>17.018999999999998</v>
      </c>
      <c r="IO81">
        <v>17.477</v>
      </c>
      <c r="IP81">
        <v>18.010999999999999</v>
      </c>
      <c r="IQ81">
        <v>15.218</v>
      </c>
      <c r="IR81">
        <v>17.774999999999999</v>
      </c>
      <c r="IS81">
        <v>17.983000000000001</v>
      </c>
      <c r="IT81">
        <v>17.946999999999999</v>
      </c>
      <c r="IU81">
        <v>17.004000000000001</v>
      </c>
      <c r="IV81">
        <v>16.449000000000002</v>
      </c>
      <c r="IW81">
        <v>16.443999999999999</v>
      </c>
      <c r="IX81">
        <v>18.292000000000002</v>
      </c>
      <c r="IY81">
        <v>17.905000000000001</v>
      </c>
      <c r="IZ81">
        <v>17.978000000000002</v>
      </c>
      <c r="JA81">
        <v>17.021000000000001</v>
      </c>
      <c r="JB81">
        <v>16.472999999999999</v>
      </c>
      <c r="JC81">
        <v>16.738</v>
      </c>
      <c r="JD81">
        <v>17.408000000000001</v>
      </c>
      <c r="JE81">
        <v>17.273</v>
      </c>
      <c r="JF81">
        <v>17.413</v>
      </c>
      <c r="JG81">
        <v>17.346</v>
      </c>
      <c r="JH81">
        <v>16.088000000000001</v>
      </c>
      <c r="JI81">
        <v>16.599</v>
      </c>
      <c r="JJ81">
        <v>16.329999999999998</v>
      </c>
      <c r="JK81">
        <v>16.498000000000001</v>
      </c>
      <c r="JL81">
        <v>17.725000000000001</v>
      </c>
      <c r="JM81">
        <v>15.907</v>
      </c>
      <c r="JN81">
        <v>17.071999999999999</v>
      </c>
      <c r="JO81">
        <v>17.462</v>
      </c>
      <c r="JP81">
        <v>16.864999999999998</v>
      </c>
      <c r="JQ81">
        <v>17.449000000000002</v>
      </c>
      <c r="JR81">
        <v>16.795000000000002</v>
      </c>
      <c r="JS81">
        <v>15.917999999999999</v>
      </c>
      <c r="JT81">
        <v>18.210999999999999</v>
      </c>
      <c r="JU81">
        <v>16.491</v>
      </c>
      <c r="JV81">
        <v>16.22</v>
      </c>
      <c r="JW81">
        <v>16.254000000000001</v>
      </c>
      <c r="JX81">
        <v>17.318000000000001</v>
      </c>
      <c r="JY81">
        <v>16.960999999999999</v>
      </c>
      <c r="JZ81">
        <v>15.468999999999999</v>
      </c>
      <c r="KA81">
        <v>17.111000000000001</v>
      </c>
      <c r="KB81">
        <v>15.954000000000001</v>
      </c>
      <c r="KC81">
        <v>16.917999999999999</v>
      </c>
      <c r="KD81">
        <v>16.448</v>
      </c>
      <c r="KE81">
        <v>16.853000000000002</v>
      </c>
      <c r="KF81">
        <v>16.661000000000001</v>
      </c>
      <c r="KG81">
        <v>17.437999999999999</v>
      </c>
      <c r="KH81">
        <v>17.463000000000001</v>
      </c>
      <c r="KI81">
        <v>16.899999999999999</v>
      </c>
      <c r="KJ81">
        <v>18.058</v>
      </c>
      <c r="KK81">
        <v>16.827999999999999</v>
      </c>
      <c r="KL81">
        <v>16.399000000000001</v>
      </c>
      <c r="KM81">
        <v>16.882999999999999</v>
      </c>
      <c r="KN81">
        <v>17.591000000000001</v>
      </c>
      <c r="KO81">
        <v>17.289000000000001</v>
      </c>
      <c r="KP81">
        <v>16.817</v>
      </c>
      <c r="KQ81">
        <v>16.402999999999999</v>
      </c>
      <c r="KR81">
        <v>16.45</v>
      </c>
    </row>
    <row r="82" spans="1:304" x14ac:dyDescent="0.25">
      <c r="A82">
        <v>2020</v>
      </c>
      <c r="B82">
        <v>7</v>
      </c>
      <c r="C82">
        <v>10.608000000000001</v>
      </c>
      <c r="D82">
        <v>16.768000000000001</v>
      </c>
      <c r="E82">
        <v>15.05</v>
      </c>
      <c r="F82">
        <v>14.552</v>
      </c>
      <c r="G82">
        <v>14.31</v>
      </c>
      <c r="H82">
        <v>15.811</v>
      </c>
      <c r="I82">
        <v>11.88</v>
      </c>
      <c r="J82">
        <v>11.89</v>
      </c>
      <c r="K82">
        <v>14.214</v>
      </c>
      <c r="L82">
        <v>14.951000000000001</v>
      </c>
      <c r="M82">
        <v>14.702</v>
      </c>
      <c r="N82">
        <v>14.375999999999999</v>
      </c>
      <c r="O82">
        <v>13.090999999999999</v>
      </c>
      <c r="P82">
        <v>15.576000000000001</v>
      </c>
      <c r="Q82">
        <v>14.340999999999999</v>
      </c>
      <c r="R82">
        <v>14.148999999999999</v>
      </c>
      <c r="S82">
        <v>14.217000000000001</v>
      </c>
      <c r="T82">
        <v>16.827000000000002</v>
      </c>
      <c r="U82">
        <v>13.782999999999999</v>
      </c>
      <c r="V82">
        <v>13.757999999999999</v>
      </c>
      <c r="W82">
        <v>16.148</v>
      </c>
      <c r="X82">
        <v>14.845000000000001</v>
      </c>
      <c r="Y82">
        <v>15.682</v>
      </c>
      <c r="Z82">
        <v>12.090999999999999</v>
      </c>
      <c r="AA82">
        <v>16.417999999999999</v>
      </c>
      <c r="AB82">
        <v>15.487</v>
      </c>
      <c r="AC82">
        <v>13.791</v>
      </c>
      <c r="AD82">
        <v>14.131</v>
      </c>
      <c r="AE82">
        <v>16.681999999999999</v>
      </c>
      <c r="AF82">
        <v>14.555</v>
      </c>
      <c r="AG82">
        <v>14.179</v>
      </c>
      <c r="AH82">
        <v>12.68</v>
      </c>
      <c r="AI82">
        <v>13.282</v>
      </c>
      <c r="AJ82">
        <v>14.135999999999999</v>
      </c>
      <c r="AK82">
        <v>15.055</v>
      </c>
      <c r="AL82">
        <v>15.849</v>
      </c>
      <c r="AM82">
        <v>15.831</v>
      </c>
      <c r="AN82">
        <v>15.57</v>
      </c>
      <c r="AO82">
        <v>14.477</v>
      </c>
      <c r="AP82">
        <v>14.522</v>
      </c>
      <c r="AQ82">
        <v>15.596</v>
      </c>
      <c r="AR82">
        <v>13.878</v>
      </c>
      <c r="AS82">
        <v>16.25</v>
      </c>
      <c r="AT82">
        <v>14.073</v>
      </c>
      <c r="AU82">
        <v>13.709</v>
      </c>
      <c r="AV82">
        <v>15.108000000000001</v>
      </c>
      <c r="AW82">
        <v>15.432</v>
      </c>
      <c r="AX82">
        <v>15.725</v>
      </c>
      <c r="AY82">
        <v>14.535</v>
      </c>
      <c r="AZ82">
        <v>12.315</v>
      </c>
      <c r="BA82">
        <v>14.433999999999999</v>
      </c>
      <c r="BB82">
        <v>11.651999999999999</v>
      </c>
      <c r="BC82">
        <v>13.151</v>
      </c>
      <c r="BD82">
        <v>13.96</v>
      </c>
      <c r="BE82">
        <v>15.946</v>
      </c>
      <c r="BF82">
        <v>14.656000000000001</v>
      </c>
      <c r="BG82">
        <v>11.91</v>
      </c>
      <c r="BH82">
        <v>12.356</v>
      </c>
      <c r="BI82">
        <v>15.211</v>
      </c>
      <c r="BJ82">
        <v>15.657999999999999</v>
      </c>
      <c r="BK82">
        <v>14.775</v>
      </c>
      <c r="BL82">
        <v>16.350999999999999</v>
      </c>
      <c r="BM82">
        <v>13.465</v>
      </c>
      <c r="BN82">
        <v>15.151999999999999</v>
      </c>
      <c r="BO82">
        <v>15.471</v>
      </c>
      <c r="BP82">
        <v>15.567</v>
      </c>
      <c r="BQ82">
        <v>12.891</v>
      </c>
      <c r="BR82">
        <v>14.785</v>
      </c>
      <c r="BS82">
        <v>15.877000000000001</v>
      </c>
      <c r="BT82">
        <v>14.858000000000001</v>
      </c>
      <c r="BU82">
        <v>10.672000000000001</v>
      </c>
      <c r="BV82">
        <v>14.465</v>
      </c>
      <c r="BW82">
        <v>15.907999999999999</v>
      </c>
      <c r="BX82">
        <v>10.35</v>
      </c>
      <c r="BY82">
        <v>16.516999999999999</v>
      </c>
      <c r="BZ82">
        <v>14.243</v>
      </c>
      <c r="CA82">
        <v>14.624000000000001</v>
      </c>
      <c r="CB82">
        <v>14.096</v>
      </c>
      <c r="CC82">
        <v>14.813000000000001</v>
      </c>
      <c r="CD82">
        <v>16.216000000000001</v>
      </c>
      <c r="CE82">
        <v>15.003</v>
      </c>
      <c r="CF82">
        <v>15.393000000000001</v>
      </c>
      <c r="CG82">
        <v>14.192</v>
      </c>
      <c r="CH82">
        <v>13.834</v>
      </c>
      <c r="CI82">
        <v>14.510999999999999</v>
      </c>
      <c r="CJ82">
        <v>15.138</v>
      </c>
      <c r="CK82">
        <v>14.635</v>
      </c>
      <c r="CL82">
        <v>15.872999999999999</v>
      </c>
      <c r="CM82">
        <v>15.888</v>
      </c>
      <c r="CN82">
        <v>15.087</v>
      </c>
      <c r="CO82">
        <v>15.06</v>
      </c>
      <c r="CP82">
        <v>13.348000000000001</v>
      </c>
      <c r="CQ82">
        <v>13.345000000000001</v>
      </c>
      <c r="CR82">
        <v>16.716999999999999</v>
      </c>
      <c r="CS82">
        <v>14.515000000000001</v>
      </c>
      <c r="CT82">
        <v>14.38</v>
      </c>
      <c r="CU82">
        <v>16.420999999999999</v>
      </c>
      <c r="CV82">
        <v>12.769</v>
      </c>
      <c r="CW82">
        <v>15.146000000000001</v>
      </c>
      <c r="CX82">
        <v>15.483000000000001</v>
      </c>
      <c r="CY82">
        <v>14.33</v>
      </c>
      <c r="CZ82">
        <v>16.120999999999999</v>
      </c>
      <c r="DA82">
        <v>14.782</v>
      </c>
      <c r="DB82">
        <v>15.646000000000001</v>
      </c>
      <c r="DC82">
        <v>14.471</v>
      </c>
      <c r="DD82">
        <v>14.528</v>
      </c>
      <c r="DE82">
        <v>11.951000000000001</v>
      </c>
      <c r="DF82">
        <v>15.023999999999999</v>
      </c>
      <c r="DG82">
        <v>15.006</v>
      </c>
      <c r="DH82">
        <v>15.801</v>
      </c>
      <c r="DI82">
        <v>13.602</v>
      </c>
      <c r="DJ82">
        <v>14.098000000000001</v>
      </c>
      <c r="DK82">
        <v>15.648</v>
      </c>
      <c r="DL82">
        <v>14.702</v>
      </c>
      <c r="DM82">
        <v>15.202</v>
      </c>
      <c r="DN82">
        <v>15.451000000000001</v>
      </c>
      <c r="DO82">
        <v>15.837999999999999</v>
      </c>
      <c r="DP82">
        <v>15.205</v>
      </c>
      <c r="DQ82">
        <v>11.94</v>
      </c>
      <c r="DR82">
        <v>16.07</v>
      </c>
      <c r="DS82">
        <v>15.635</v>
      </c>
      <c r="DT82">
        <v>15.367000000000001</v>
      </c>
      <c r="DU82">
        <v>16.102</v>
      </c>
      <c r="DV82">
        <v>14.896000000000001</v>
      </c>
      <c r="DW82">
        <v>15.026999999999999</v>
      </c>
      <c r="DX82">
        <v>13.302</v>
      </c>
      <c r="DY82">
        <v>14.667999999999999</v>
      </c>
      <c r="DZ82">
        <v>14.709</v>
      </c>
      <c r="EA82">
        <v>16.667999999999999</v>
      </c>
      <c r="EB82">
        <v>14.961</v>
      </c>
      <c r="EC82">
        <v>14.895</v>
      </c>
      <c r="ED82">
        <v>14.746</v>
      </c>
      <c r="EE82">
        <v>15.74</v>
      </c>
      <c r="EF82">
        <v>14.4</v>
      </c>
      <c r="EG82">
        <v>13.736000000000001</v>
      </c>
      <c r="EH82">
        <v>16.407</v>
      </c>
      <c r="EI82">
        <v>13.836</v>
      </c>
      <c r="EJ82">
        <v>14.689</v>
      </c>
      <c r="EK82">
        <v>16.105</v>
      </c>
      <c r="EL82">
        <v>13.053000000000001</v>
      </c>
      <c r="EM82">
        <v>15.396000000000001</v>
      </c>
      <c r="EN82">
        <v>14.856999999999999</v>
      </c>
      <c r="EO82">
        <v>16.471</v>
      </c>
      <c r="EP82">
        <v>12.224</v>
      </c>
      <c r="EQ82">
        <v>12.111000000000001</v>
      </c>
      <c r="ER82">
        <v>15.106999999999999</v>
      </c>
      <c r="ES82">
        <v>14.371</v>
      </c>
      <c r="ET82">
        <v>14.792</v>
      </c>
      <c r="EU82">
        <v>15.132999999999999</v>
      </c>
      <c r="EV82">
        <v>13.569000000000001</v>
      </c>
      <c r="EW82">
        <v>15.286</v>
      </c>
      <c r="EX82">
        <v>14.843999999999999</v>
      </c>
      <c r="EY82">
        <v>13.651</v>
      </c>
      <c r="EZ82">
        <v>15.792</v>
      </c>
      <c r="FA82">
        <v>15.423999999999999</v>
      </c>
      <c r="FB82">
        <v>16.57</v>
      </c>
      <c r="FC82">
        <v>16.475000000000001</v>
      </c>
      <c r="FD82">
        <v>16.638000000000002</v>
      </c>
      <c r="FE82">
        <v>14.571</v>
      </c>
      <c r="FF82">
        <v>14.577</v>
      </c>
      <c r="FG82">
        <v>14.191000000000001</v>
      </c>
      <c r="FH82">
        <v>14.11</v>
      </c>
      <c r="FI82">
        <v>15.904</v>
      </c>
      <c r="FJ82">
        <v>15.787000000000001</v>
      </c>
      <c r="FK82">
        <v>12.582000000000001</v>
      </c>
      <c r="FL82">
        <v>15.712</v>
      </c>
      <c r="FM82">
        <v>16.134</v>
      </c>
      <c r="FN82">
        <v>15.864000000000001</v>
      </c>
      <c r="FO82">
        <v>15.724</v>
      </c>
      <c r="FP82">
        <v>13.848000000000001</v>
      </c>
      <c r="FQ82">
        <v>14.343</v>
      </c>
      <c r="FR82">
        <v>15.098000000000001</v>
      </c>
      <c r="FS82">
        <v>13.167</v>
      </c>
      <c r="FT82">
        <v>15.254</v>
      </c>
      <c r="FU82">
        <v>14.398999999999999</v>
      </c>
      <c r="FV82">
        <v>16.277000000000001</v>
      </c>
      <c r="FW82">
        <v>15.787000000000001</v>
      </c>
      <c r="FX82">
        <v>13.941000000000001</v>
      </c>
      <c r="FY82">
        <v>15.122</v>
      </c>
      <c r="FZ82">
        <v>14.105</v>
      </c>
      <c r="GA82">
        <v>10.33</v>
      </c>
      <c r="GB82">
        <v>14.026999999999999</v>
      </c>
      <c r="GC82">
        <v>15.692</v>
      </c>
      <c r="GD82">
        <v>13.242000000000001</v>
      </c>
      <c r="GE82">
        <v>14.877000000000001</v>
      </c>
      <c r="GF82">
        <v>16.457000000000001</v>
      </c>
      <c r="GG82">
        <v>14.978999999999999</v>
      </c>
      <c r="GH82">
        <v>16.081</v>
      </c>
      <c r="GI82">
        <v>15.78</v>
      </c>
      <c r="GJ82">
        <v>15.422000000000001</v>
      </c>
      <c r="GK82">
        <v>14.488</v>
      </c>
      <c r="GL82">
        <v>14.21</v>
      </c>
      <c r="GM82">
        <v>14.388</v>
      </c>
      <c r="GN82">
        <v>15.679</v>
      </c>
      <c r="GO82">
        <v>15.363</v>
      </c>
      <c r="GP82">
        <v>14.417999999999999</v>
      </c>
      <c r="GQ82">
        <v>14.105</v>
      </c>
      <c r="GR82">
        <v>13.48</v>
      </c>
      <c r="GS82">
        <v>16.576000000000001</v>
      </c>
      <c r="GT82">
        <v>16.763000000000002</v>
      </c>
      <c r="GU82">
        <v>12.472</v>
      </c>
      <c r="GV82">
        <v>15.397</v>
      </c>
      <c r="GW82">
        <v>16.088000000000001</v>
      </c>
      <c r="GX82">
        <v>15.064</v>
      </c>
      <c r="GY82">
        <v>16.606999999999999</v>
      </c>
      <c r="GZ82">
        <v>16.777999999999999</v>
      </c>
      <c r="HA82">
        <v>14.103</v>
      </c>
      <c r="HB82">
        <v>9.2119999999999997</v>
      </c>
      <c r="HC82">
        <v>12.202</v>
      </c>
      <c r="HD82">
        <v>16.164000000000001</v>
      </c>
      <c r="HE82">
        <v>15.314</v>
      </c>
      <c r="HF82">
        <v>12.420999999999999</v>
      </c>
      <c r="HG82">
        <v>16.748000000000001</v>
      </c>
      <c r="HH82">
        <v>14.472</v>
      </c>
      <c r="HI82">
        <v>13.789</v>
      </c>
      <c r="HJ82">
        <v>15.196999999999999</v>
      </c>
      <c r="HK82">
        <v>15.638999999999999</v>
      </c>
      <c r="HL82">
        <v>16.093</v>
      </c>
      <c r="HM82">
        <v>11.704000000000001</v>
      </c>
      <c r="HN82">
        <v>13.87</v>
      </c>
      <c r="HO82">
        <v>11.791</v>
      </c>
      <c r="HP82">
        <v>14.84</v>
      </c>
      <c r="HQ82">
        <v>14.58</v>
      </c>
      <c r="HR82">
        <v>10.81</v>
      </c>
      <c r="HS82">
        <v>10.909000000000001</v>
      </c>
      <c r="HT82">
        <v>14.173999999999999</v>
      </c>
      <c r="HU82">
        <v>13.884</v>
      </c>
      <c r="HV82">
        <v>15.173</v>
      </c>
      <c r="HW82">
        <v>16.018999999999998</v>
      </c>
      <c r="HX82">
        <v>16.298999999999999</v>
      </c>
      <c r="HY82">
        <v>15.66</v>
      </c>
      <c r="HZ82">
        <v>14.907</v>
      </c>
      <c r="IA82">
        <v>14.821</v>
      </c>
      <c r="IB82">
        <v>14.272</v>
      </c>
      <c r="IC82">
        <v>15.127000000000001</v>
      </c>
      <c r="ID82">
        <v>14.209</v>
      </c>
      <c r="IE82">
        <v>14.805</v>
      </c>
      <c r="IF82">
        <v>15.385</v>
      </c>
      <c r="IG82">
        <v>15.529</v>
      </c>
      <c r="IH82">
        <v>13.721</v>
      </c>
      <c r="II82">
        <v>16.169</v>
      </c>
      <c r="IJ82">
        <v>13.77</v>
      </c>
      <c r="IK82">
        <v>14.693</v>
      </c>
      <c r="IL82">
        <v>16.227</v>
      </c>
      <c r="IM82">
        <v>14.983000000000001</v>
      </c>
      <c r="IN82">
        <v>15.928000000000001</v>
      </c>
      <c r="IO82">
        <v>16.355</v>
      </c>
      <c r="IP82">
        <v>16.530999999999999</v>
      </c>
      <c r="IQ82">
        <v>9.6310000000000002</v>
      </c>
      <c r="IR82">
        <v>15.093</v>
      </c>
      <c r="IS82">
        <v>15.013</v>
      </c>
      <c r="IT82">
        <v>15.074999999999999</v>
      </c>
      <c r="IU82">
        <v>14.51</v>
      </c>
      <c r="IV82">
        <v>13.601000000000001</v>
      </c>
      <c r="IW82">
        <v>14.17</v>
      </c>
      <c r="IX82">
        <v>16.504000000000001</v>
      </c>
      <c r="IY82">
        <v>16.253</v>
      </c>
      <c r="IZ82">
        <v>15.891</v>
      </c>
      <c r="JA82">
        <v>15.239000000000001</v>
      </c>
      <c r="JB82">
        <v>13.968</v>
      </c>
      <c r="JC82">
        <v>16.210999999999999</v>
      </c>
      <c r="JD82">
        <v>15.731999999999999</v>
      </c>
      <c r="JE82">
        <v>12.848000000000001</v>
      </c>
      <c r="JF82">
        <v>14.518000000000001</v>
      </c>
      <c r="JG82">
        <v>15.57</v>
      </c>
      <c r="JH82">
        <v>14.319000000000001</v>
      </c>
      <c r="JI82">
        <v>12.368</v>
      </c>
      <c r="JJ82">
        <v>15.307</v>
      </c>
      <c r="JK82">
        <v>13.196999999999999</v>
      </c>
      <c r="JL82">
        <v>15.496</v>
      </c>
      <c r="JM82">
        <v>16.446000000000002</v>
      </c>
      <c r="JN82">
        <v>14.298</v>
      </c>
      <c r="JO82">
        <v>14.991</v>
      </c>
      <c r="JP82">
        <v>13.638</v>
      </c>
      <c r="JQ82">
        <v>16.501000000000001</v>
      </c>
      <c r="JR82">
        <v>14.313000000000001</v>
      </c>
      <c r="JS82">
        <v>16.404</v>
      </c>
      <c r="JT82">
        <v>15.808</v>
      </c>
      <c r="JU82">
        <v>14.452</v>
      </c>
      <c r="JV82">
        <v>14.34</v>
      </c>
      <c r="JW82">
        <v>15.734999999999999</v>
      </c>
      <c r="JX82">
        <v>14.727</v>
      </c>
      <c r="JY82">
        <v>12.93</v>
      </c>
      <c r="JZ82">
        <v>10.398999999999999</v>
      </c>
      <c r="KA82">
        <v>13.845000000000001</v>
      </c>
      <c r="KB82">
        <v>14.481</v>
      </c>
      <c r="KC82">
        <v>15.553000000000001</v>
      </c>
      <c r="KD82">
        <v>14.302</v>
      </c>
      <c r="KE82">
        <v>12.215</v>
      </c>
      <c r="KF82">
        <v>13.945</v>
      </c>
      <c r="KG82">
        <v>15.5</v>
      </c>
      <c r="KH82">
        <v>15.701000000000001</v>
      </c>
      <c r="KI82">
        <v>14.805</v>
      </c>
      <c r="KJ82">
        <v>15.208</v>
      </c>
      <c r="KK82">
        <v>14.521000000000001</v>
      </c>
      <c r="KL82">
        <v>13.97</v>
      </c>
      <c r="KM82">
        <v>11.888</v>
      </c>
      <c r="KN82">
        <v>16.387</v>
      </c>
      <c r="KO82">
        <v>15.372</v>
      </c>
      <c r="KP82">
        <v>12.926</v>
      </c>
      <c r="KQ82">
        <v>14.49</v>
      </c>
      <c r="KR82">
        <v>14.619</v>
      </c>
    </row>
    <row r="83" spans="1:304" x14ac:dyDescent="0.25">
      <c r="A83">
        <v>2020</v>
      </c>
      <c r="B83">
        <v>8</v>
      </c>
      <c r="C83">
        <v>10.157999999999999</v>
      </c>
      <c r="D83">
        <v>18.754000000000001</v>
      </c>
      <c r="E83">
        <v>17.425999999999998</v>
      </c>
      <c r="F83">
        <v>16.844000000000001</v>
      </c>
      <c r="G83">
        <v>16.715</v>
      </c>
      <c r="H83">
        <v>17.939</v>
      </c>
      <c r="I83">
        <v>12.117000000000001</v>
      </c>
      <c r="J83">
        <v>12.605</v>
      </c>
      <c r="K83">
        <v>16.094000000000001</v>
      </c>
      <c r="L83">
        <v>17.297000000000001</v>
      </c>
      <c r="M83">
        <v>16.684000000000001</v>
      </c>
      <c r="N83">
        <v>16.584</v>
      </c>
      <c r="O83">
        <v>14.122999999999999</v>
      </c>
      <c r="P83">
        <v>18.780999999999999</v>
      </c>
      <c r="Q83">
        <v>14.089</v>
      </c>
      <c r="R83">
        <v>16.632999999999999</v>
      </c>
      <c r="S83">
        <v>16.244</v>
      </c>
      <c r="T83">
        <v>18.431999999999999</v>
      </c>
      <c r="U83">
        <v>16.093</v>
      </c>
      <c r="V83">
        <v>16.451000000000001</v>
      </c>
      <c r="W83">
        <v>17.837</v>
      </c>
      <c r="X83">
        <v>17.443999999999999</v>
      </c>
      <c r="Y83">
        <v>17.943999999999999</v>
      </c>
      <c r="Z83">
        <v>13.661</v>
      </c>
      <c r="AA83">
        <v>19.452000000000002</v>
      </c>
      <c r="AB83">
        <v>18.245999999999999</v>
      </c>
      <c r="AC83">
        <v>15.64</v>
      </c>
      <c r="AD83">
        <v>16.364999999999998</v>
      </c>
      <c r="AE83">
        <v>18.556000000000001</v>
      </c>
      <c r="AF83">
        <v>16.779</v>
      </c>
      <c r="AG83">
        <v>15.845000000000001</v>
      </c>
      <c r="AH83">
        <v>13.464</v>
      </c>
      <c r="AI83">
        <v>15.353</v>
      </c>
      <c r="AJ83">
        <v>16.821000000000002</v>
      </c>
      <c r="AK83">
        <v>16.919</v>
      </c>
      <c r="AL83">
        <v>17.876000000000001</v>
      </c>
      <c r="AM83">
        <v>17.901</v>
      </c>
      <c r="AN83">
        <v>18.744</v>
      </c>
      <c r="AO83">
        <v>16.960999999999999</v>
      </c>
      <c r="AP83">
        <v>16.832999999999998</v>
      </c>
      <c r="AQ83">
        <v>18.068000000000001</v>
      </c>
      <c r="AR83">
        <v>16.718</v>
      </c>
      <c r="AS83">
        <v>18.920999999999999</v>
      </c>
      <c r="AT83">
        <v>16.344999999999999</v>
      </c>
      <c r="AU83">
        <v>15.917999999999999</v>
      </c>
      <c r="AV83">
        <v>16.780999999999999</v>
      </c>
      <c r="AW83">
        <v>17.41</v>
      </c>
      <c r="AX83">
        <v>17.526</v>
      </c>
      <c r="AY83">
        <v>16.7</v>
      </c>
      <c r="AZ83">
        <v>13.492000000000001</v>
      </c>
      <c r="BA83">
        <v>16.695</v>
      </c>
      <c r="BB83">
        <v>13.156000000000001</v>
      </c>
      <c r="BC83">
        <v>15.449</v>
      </c>
      <c r="BD83">
        <v>16.667999999999999</v>
      </c>
      <c r="BE83">
        <v>17.545999999999999</v>
      </c>
      <c r="BF83">
        <v>17.119</v>
      </c>
      <c r="BG83">
        <v>12.784000000000001</v>
      </c>
      <c r="BH83">
        <v>11.776999999999999</v>
      </c>
      <c r="BI83">
        <v>17.181999999999999</v>
      </c>
      <c r="BJ83">
        <v>18.146000000000001</v>
      </c>
      <c r="BK83">
        <v>17.427</v>
      </c>
      <c r="BL83">
        <v>18.215</v>
      </c>
      <c r="BM83">
        <v>15.596</v>
      </c>
      <c r="BN83">
        <v>17.259</v>
      </c>
      <c r="BO83">
        <v>17.387</v>
      </c>
      <c r="BP83">
        <v>18.312000000000001</v>
      </c>
      <c r="BQ83">
        <v>14.114000000000001</v>
      </c>
      <c r="BR83">
        <v>16.620999999999999</v>
      </c>
      <c r="BS83">
        <v>17.248999999999999</v>
      </c>
      <c r="BT83">
        <v>14.192</v>
      </c>
      <c r="BU83">
        <v>12.912000000000001</v>
      </c>
      <c r="BV83">
        <v>16.613</v>
      </c>
      <c r="BW83">
        <v>19.033000000000001</v>
      </c>
      <c r="BX83">
        <v>10.353999999999999</v>
      </c>
      <c r="BY83">
        <v>17.954999999999998</v>
      </c>
      <c r="BZ83">
        <v>16.751000000000001</v>
      </c>
      <c r="CA83">
        <v>17.117999999999999</v>
      </c>
      <c r="CB83">
        <v>16.353999999999999</v>
      </c>
      <c r="CC83">
        <v>17.100999999999999</v>
      </c>
      <c r="CD83">
        <v>17.928999999999998</v>
      </c>
      <c r="CE83">
        <v>16.492999999999999</v>
      </c>
      <c r="CF83">
        <v>17.466000000000001</v>
      </c>
      <c r="CG83">
        <v>16.72</v>
      </c>
      <c r="CH83">
        <v>16.094999999999999</v>
      </c>
      <c r="CI83">
        <v>15.835000000000001</v>
      </c>
      <c r="CJ83">
        <v>17.797000000000001</v>
      </c>
      <c r="CK83">
        <v>16.98</v>
      </c>
      <c r="CL83">
        <v>18.669</v>
      </c>
      <c r="CM83">
        <v>17.623000000000001</v>
      </c>
      <c r="CN83">
        <v>18.206</v>
      </c>
      <c r="CO83">
        <v>17.981999999999999</v>
      </c>
      <c r="CP83">
        <v>13.241</v>
      </c>
      <c r="CQ83">
        <v>14.326000000000001</v>
      </c>
      <c r="CR83">
        <v>18.739999999999998</v>
      </c>
      <c r="CS83">
        <v>17.145</v>
      </c>
      <c r="CT83">
        <v>13.901</v>
      </c>
      <c r="CU83">
        <v>17.728000000000002</v>
      </c>
      <c r="CV83">
        <v>11.552</v>
      </c>
      <c r="CW83">
        <v>17.387</v>
      </c>
      <c r="CX83">
        <v>17.452000000000002</v>
      </c>
      <c r="CY83">
        <v>16.489999999999998</v>
      </c>
      <c r="CZ83">
        <v>18.315999999999999</v>
      </c>
      <c r="DA83">
        <v>16.73</v>
      </c>
      <c r="DB83">
        <v>17.497</v>
      </c>
      <c r="DC83">
        <v>16.603999999999999</v>
      </c>
      <c r="DD83">
        <v>17.227</v>
      </c>
      <c r="DE83">
        <v>11.458</v>
      </c>
      <c r="DF83">
        <v>17.167999999999999</v>
      </c>
      <c r="DG83">
        <v>17.925999999999998</v>
      </c>
      <c r="DH83">
        <v>17.57</v>
      </c>
      <c r="DI83">
        <v>15.911</v>
      </c>
      <c r="DJ83">
        <v>15.36</v>
      </c>
      <c r="DK83">
        <v>17.974</v>
      </c>
      <c r="DL83">
        <v>16.699000000000002</v>
      </c>
      <c r="DM83">
        <v>17.321999999999999</v>
      </c>
      <c r="DN83">
        <v>18.071999999999999</v>
      </c>
      <c r="DO83">
        <v>17.95</v>
      </c>
      <c r="DP83">
        <v>17.635999999999999</v>
      </c>
      <c r="DQ83">
        <v>11.278</v>
      </c>
      <c r="DR83">
        <v>19.186</v>
      </c>
      <c r="DS83">
        <v>17.635000000000002</v>
      </c>
      <c r="DT83">
        <v>18.047999999999998</v>
      </c>
      <c r="DU83">
        <v>19.108000000000001</v>
      </c>
      <c r="DV83">
        <v>17.285</v>
      </c>
      <c r="DW83">
        <v>17.178000000000001</v>
      </c>
      <c r="DX83">
        <v>15.568</v>
      </c>
      <c r="DY83">
        <v>17.164999999999999</v>
      </c>
      <c r="DZ83">
        <v>16.670999999999999</v>
      </c>
      <c r="EA83">
        <v>18.462</v>
      </c>
      <c r="EB83">
        <v>17.655999999999999</v>
      </c>
      <c r="EC83">
        <v>17.103000000000002</v>
      </c>
      <c r="ED83">
        <v>16.838999999999999</v>
      </c>
      <c r="EE83">
        <v>18.052</v>
      </c>
      <c r="EF83">
        <v>16.88</v>
      </c>
      <c r="EG83">
        <v>15.686999999999999</v>
      </c>
      <c r="EH83">
        <v>19.45</v>
      </c>
      <c r="EI83">
        <v>16.309999999999999</v>
      </c>
      <c r="EJ83">
        <v>14.592000000000001</v>
      </c>
      <c r="EK83">
        <v>19.262</v>
      </c>
      <c r="EL83">
        <v>13.792</v>
      </c>
      <c r="EM83">
        <v>17.402999999999999</v>
      </c>
      <c r="EN83">
        <v>17.221</v>
      </c>
      <c r="EO83">
        <v>19.463000000000001</v>
      </c>
      <c r="EP83">
        <v>14.452</v>
      </c>
      <c r="EQ83">
        <v>12.859</v>
      </c>
      <c r="ER83">
        <v>17.492000000000001</v>
      </c>
      <c r="ES83">
        <v>17.247</v>
      </c>
      <c r="ET83">
        <v>17.259</v>
      </c>
      <c r="EU83">
        <v>17.460999999999999</v>
      </c>
      <c r="EV83">
        <v>15.794</v>
      </c>
      <c r="EW83">
        <v>17.667999999999999</v>
      </c>
      <c r="EX83">
        <v>16.925000000000001</v>
      </c>
      <c r="EY83">
        <v>15.994</v>
      </c>
      <c r="EZ83">
        <v>17.71</v>
      </c>
      <c r="FA83">
        <v>18.015000000000001</v>
      </c>
      <c r="FB83">
        <v>18.004999999999999</v>
      </c>
      <c r="FC83">
        <v>17.753</v>
      </c>
      <c r="FD83">
        <v>18.446999999999999</v>
      </c>
      <c r="FE83">
        <v>16.747</v>
      </c>
      <c r="FF83">
        <v>16.745000000000001</v>
      </c>
      <c r="FG83">
        <v>15.869</v>
      </c>
      <c r="FH83">
        <v>14.757999999999999</v>
      </c>
      <c r="FI83">
        <v>18.052</v>
      </c>
      <c r="FJ83">
        <v>17.466999999999999</v>
      </c>
      <c r="FK83">
        <v>13.339</v>
      </c>
      <c r="FL83">
        <v>17.399999999999999</v>
      </c>
      <c r="FM83">
        <v>17.87</v>
      </c>
      <c r="FN83">
        <v>17.670000000000002</v>
      </c>
      <c r="FO83">
        <v>17.248000000000001</v>
      </c>
      <c r="FP83">
        <v>16.646000000000001</v>
      </c>
      <c r="FQ83">
        <v>16.428999999999998</v>
      </c>
      <c r="FR83">
        <v>17.283000000000001</v>
      </c>
      <c r="FS83">
        <v>15.426</v>
      </c>
      <c r="FT83">
        <v>17.488</v>
      </c>
      <c r="FU83">
        <v>16.922000000000001</v>
      </c>
      <c r="FV83">
        <v>17.765000000000001</v>
      </c>
      <c r="FW83">
        <v>17.626999999999999</v>
      </c>
      <c r="FX83">
        <v>12.948</v>
      </c>
      <c r="FY83">
        <v>17.71</v>
      </c>
      <c r="FZ83">
        <v>14.23</v>
      </c>
      <c r="GA83">
        <v>10.262</v>
      </c>
      <c r="GB83">
        <v>14.497</v>
      </c>
      <c r="GC83">
        <v>17.742000000000001</v>
      </c>
      <c r="GD83">
        <v>15.605</v>
      </c>
      <c r="GE83">
        <v>16.879000000000001</v>
      </c>
      <c r="GF83">
        <v>18.376999999999999</v>
      </c>
      <c r="GG83">
        <v>16.936</v>
      </c>
      <c r="GH83">
        <v>17.826000000000001</v>
      </c>
      <c r="GI83">
        <v>18.414999999999999</v>
      </c>
      <c r="GJ83">
        <v>18.596</v>
      </c>
      <c r="GK83">
        <v>17.263999999999999</v>
      </c>
      <c r="GL83">
        <v>14.826000000000001</v>
      </c>
      <c r="GM83">
        <v>16.725999999999999</v>
      </c>
      <c r="GN83">
        <v>18.716000000000001</v>
      </c>
      <c r="GO83">
        <v>17.396999999999998</v>
      </c>
      <c r="GP83">
        <v>17.123000000000001</v>
      </c>
      <c r="GQ83">
        <v>16.506</v>
      </c>
      <c r="GR83">
        <v>14.321999999999999</v>
      </c>
      <c r="GS83">
        <v>18.475999999999999</v>
      </c>
      <c r="GT83">
        <v>18.763000000000002</v>
      </c>
      <c r="GU83">
        <v>12.635</v>
      </c>
      <c r="GV83">
        <v>17.263999999999999</v>
      </c>
      <c r="GW83">
        <v>19.207999999999998</v>
      </c>
      <c r="GX83">
        <v>17.396999999999998</v>
      </c>
      <c r="GY83">
        <v>18.52</v>
      </c>
      <c r="GZ83">
        <v>18.84</v>
      </c>
      <c r="HA83">
        <v>16.373999999999999</v>
      </c>
      <c r="HB83">
        <v>11.468</v>
      </c>
      <c r="HC83">
        <v>12.778</v>
      </c>
      <c r="HD83">
        <v>18.109000000000002</v>
      </c>
      <c r="HE83">
        <v>17.521999999999998</v>
      </c>
      <c r="HF83">
        <v>13.45</v>
      </c>
      <c r="HG83">
        <v>18.774999999999999</v>
      </c>
      <c r="HH83">
        <v>15.945</v>
      </c>
      <c r="HI83">
        <v>15.986000000000001</v>
      </c>
      <c r="HJ83">
        <v>17.199000000000002</v>
      </c>
      <c r="HK83">
        <v>18.788</v>
      </c>
      <c r="HL83">
        <v>19.050999999999998</v>
      </c>
      <c r="HM83">
        <v>13.603999999999999</v>
      </c>
      <c r="HN83">
        <v>16.375</v>
      </c>
      <c r="HO83">
        <v>13.727</v>
      </c>
      <c r="HP83">
        <v>17.292999999999999</v>
      </c>
      <c r="HQ83">
        <v>16.417000000000002</v>
      </c>
      <c r="HR83">
        <v>13.525</v>
      </c>
      <c r="HS83">
        <v>13.13</v>
      </c>
      <c r="HT83">
        <v>16.486999999999998</v>
      </c>
      <c r="HU83">
        <v>16.649000000000001</v>
      </c>
      <c r="HV83">
        <v>16.626000000000001</v>
      </c>
      <c r="HW83">
        <v>18.13</v>
      </c>
      <c r="HX83">
        <v>18.097000000000001</v>
      </c>
      <c r="HY83">
        <v>17.925000000000001</v>
      </c>
      <c r="HZ83">
        <v>17.138999999999999</v>
      </c>
      <c r="IA83">
        <v>17.385000000000002</v>
      </c>
      <c r="IB83">
        <v>17.149999999999999</v>
      </c>
      <c r="IC83">
        <v>16.960999999999999</v>
      </c>
      <c r="ID83">
        <v>15.523999999999999</v>
      </c>
      <c r="IE83">
        <v>16.736999999999998</v>
      </c>
      <c r="IF83">
        <v>17.579999999999998</v>
      </c>
      <c r="IG83">
        <v>18.350999999999999</v>
      </c>
      <c r="IH83">
        <v>15.94</v>
      </c>
      <c r="II83">
        <v>17.553999999999998</v>
      </c>
      <c r="IJ83">
        <v>16.257999999999999</v>
      </c>
      <c r="IK83">
        <v>17.373999999999999</v>
      </c>
      <c r="IL83">
        <v>18.858000000000001</v>
      </c>
      <c r="IM83">
        <v>17.241</v>
      </c>
      <c r="IN83">
        <v>17.395</v>
      </c>
      <c r="IO83">
        <v>17.952999999999999</v>
      </c>
      <c r="IP83">
        <v>18.344000000000001</v>
      </c>
      <c r="IQ83">
        <v>12.083</v>
      </c>
      <c r="IR83">
        <v>16.948</v>
      </c>
      <c r="IS83">
        <v>17.343</v>
      </c>
      <c r="IT83">
        <v>17.201000000000001</v>
      </c>
      <c r="IU83">
        <v>16.974</v>
      </c>
      <c r="IV83">
        <v>16.335999999999999</v>
      </c>
      <c r="IW83">
        <v>14.677</v>
      </c>
      <c r="IX83">
        <v>18.323</v>
      </c>
      <c r="IY83">
        <v>18.045999999999999</v>
      </c>
      <c r="IZ83">
        <v>17.849</v>
      </c>
      <c r="JA83">
        <v>17.71</v>
      </c>
      <c r="JB83">
        <v>16.573</v>
      </c>
      <c r="JC83">
        <v>18.038</v>
      </c>
      <c r="JD83">
        <v>17.425999999999998</v>
      </c>
      <c r="JE83">
        <v>15.244</v>
      </c>
      <c r="JF83">
        <v>17.213999999999999</v>
      </c>
      <c r="JG83">
        <v>18.082000000000001</v>
      </c>
      <c r="JH83">
        <v>17.120999999999999</v>
      </c>
      <c r="JI83">
        <v>12.967000000000001</v>
      </c>
      <c r="JJ83">
        <v>17.312000000000001</v>
      </c>
      <c r="JK83">
        <v>14.028</v>
      </c>
      <c r="JL83">
        <v>17.472999999999999</v>
      </c>
      <c r="JM83">
        <v>18</v>
      </c>
      <c r="JN83">
        <v>16.718</v>
      </c>
      <c r="JO83">
        <v>17.315000000000001</v>
      </c>
      <c r="JP83">
        <v>14.411</v>
      </c>
      <c r="JQ83">
        <v>18.096</v>
      </c>
      <c r="JR83">
        <v>16.949000000000002</v>
      </c>
      <c r="JS83">
        <v>18.088999999999999</v>
      </c>
      <c r="JT83">
        <v>17.873000000000001</v>
      </c>
      <c r="JU83">
        <v>16.93</v>
      </c>
      <c r="JV83">
        <v>16.748000000000001</v>
      </c>
      <c r="JW83">
        <v>18.584</v>
      </c>
      <c r="JX83">
        <v>16.670000000000002</v>
      </c>
      <c r="JY83">
        <v>14.505000000000001</v>
      </c>
      <c r="JZ83">
        <v>12.459</v>
      </c>
      <c r="KA83">
        <v>15.840999999999999</v>
      </c>
      <c r="KB83">
        <v>17.013999999999999</v>
      </c>
      <c r="KC83">
        <v>17.62</v>
      </c>
      <c r="KD83">
        <v>16.776</v>
      </c>
      <c r="KE83">
        <v>14.406000000000001</v>
      </c>
      <c r="KF83">
        <v>13.807</v>
      </c>
      <c r="KG83">
        <v>18.395</v>
      </c>
      <c r="KH83">
        <v>17.989999999999998</v>
      </c>
      <c r="KI83">
        <v>17.411999999999999</v>
      </c>
      <c r="KJ83">
        <v>17.373000000000001</v>
      </c>
      <c r="KK83">
        <v>17.300999999999998</v>
      </c>
      <c r="KL83">
        <v>14.926</v>
      </c>
      <c r="KM83">
        <v>13.792999999999999</v>
      </c>
      <c r="KN83">
        <v>18.013000000000002</v>
      </c>
      <c r="KO83">
        <v>17.155000000000001</v>
      </c>
      <c r="KP83">
        <v>15.063000000000001</v>
      </c>
      <c r="KQ83">
        <v>13.813000000000001</v>
      </c>
      <c r="KR83">
        <v>13.823</v>
      </c>
    </row>
    <row r="84" spans="1:304" x14ac:dyDescent="0.25">
      <c r="A84">
        <v>2020</v>
      </c>
      <c r="B84">
        <v>9</v>
      </c>
      <c r="C84">
        <v>6.2939999999999996</v>
      </c>
      <c r="D84">
        <v>13.782</v>
      </c>
      <c r="E84">
        <v>13.513999999999999</v>
      </c>
      <c r="F84">
        <v>12.808999999999999</v>
      </c>
      <c r="G84">
        <v>12.478</v>
      </c>
      <c r="H84">
        <v>13.02</v>
      </c>
      <c r="I84">
        <v>7.4359999999999999</v>
      </c>
      <c r="J84">
        <v>7.5220000000000002</v>
      </c>
      <c r="K84">
        <v>11.881</v>
      </c>
      <c r="L84">
        <v>12.496</v>
      </c>
      <c r="M84">
        <v>11.656000000000001</v>
      </c>
      <c r="N84">
        <v>12.243</v>
      </c>
      <c r="O84">
        <v>9.2100000000000009</v>
      </c>
      <c r="P84">
        <v>14.192</v>
      </c>
      <c r="Q84">
        <v>9.3879999999999999</v>
      </c>
      <c r="R84">
        <v>12.582000000000001</v>
      </c>
      <c r="S84">
        <v>11.03</v>
      </c>
      <c r="T84">
        <v>14.792</v>
      </c>
      <c r="U84">
        <v>11.209</v>
      </c>
      <c r="V84">
        <v>12.148</v>
      </c>
      <c r="W84">
        <v>13.291</v>
      </c>
      <c r="X84">
        <v>12.993</v>
      </c>
      <c r="Y84">
        <v>13.981</v>
      </c>
      <c r="Z84">
        <v>8.69</v>
      </c>
      <c r="AA84">
        <v>14.888999999999999</v>
      </c>
      <c r="AB84">
        <v>14.254</v>
      </c>
      <c r="AC84">
        <v>11.253</v>
      </c>
      <c r="AD84">
        <v>12.193</v>
      </c>
      <c r="AE84">
        <v>13.648</v>
      </c>
      <c r="AF84">
        <v>12.073</v>
      </c>
      <c r="AG84">
        <v>10.756</v>
      </c>
      <c r="AH84">
        <v>8.5210000000000008</v>
      </c>
      <c r="AI84">
        <v>10.353</v>
      </c>
      <c r="AJ84">
        <v>12.228</v>
      </c>
      <c r="AK84">
        <v>12.762</v>
      </c>
      <c r="AL84">
        <v>12.996</v>
      </c>
      <c r="AM84">
        <v>13.005000000000001</v>
      </c>
      <c r="AN84">
        <v>14.095000000000001</v>
      </c>
      <c r="AO84">
        <v>12.775</v>
      </c>
      <c r="AP84">
        <v>11.664999999999999</v>
      </c>
      <c r="AQ84">
        <v>14.257</v>
      </c>
      <c r="AR84">
        <v>12.288</v>
      </c>
      <c r="AS84">
        <v>15.56</v>
      </c>
      <c r="AT84">
        <v>11.36</v>
      </c>
      <c r="AU84">
        <v>11.398999999999999</v>
      </c>
      <c r="AV84">
        <v>12.063000000000001</v>
      </c>
      <c r="AW84">
        <v>12.750999999999999</v>
      </c>
      <c r="AX84">
        <v>12.803000000000001</v>
      </c>
      <c r="AY84">
        <v>12.188000000000001</v>
      </c>
      <c r="AZ84">
        <v>8.4789999999999992</v>
      </c>
      <c r="BA84">
        <v>12.605</v>
      </c>
      <c r="BB84">
        <v>8.0820000000000007</v>
      </c>
      <c r="BC84">
        <v>10.502000000000001</v>
      </c>
      <c r="BD84">
        <v>12.256</v>
      </c>
      <c r="BE84">
        <v>12.988</v>
      </c>
      <c r="BF84">
        <v>13.039</v>
      </c>
      <c r="BG84">
        <v>7.64</v>
      </c>
      <c r="BH84">
        <v>6.9039999999999999</v>
      </c>
      <c r="BI84">
        <v>12.159000000000001</v>
      </c>
      <c r="BJ84">
        <v>14.337999999999999</v>
      </c>
      <c r="BK84">
        <v>13.201000000000001</v>
      </c>
      <c r="BL84">
        <v>13.292999999999999</v>
      </c>
      <c r="BM84">
        <v>10.912000000000001</v>
      </c>
      <c r="BN84">
        <v>12.510999999999999</v>
      </c>
      <c r="BO84">
        <v>12.458</v>
      </c>
      <c r="BP84">
        <v>14.250999999999999</v>
      </c>
      <c r="BQ84">
        <v>9.1649999999999991</v>
      </c>
      <c r="BR84">
        <v>13.103999999999999</v>
      </c>
      <c r="BS84">
        <v>13.096</v>
      </c>
      <c r="BT84">
        <v>10.177</v>
      </c>
      <c r="BU84">
        <v>7.8479999999999999</v>
      </c>
      <c r="BV84">
        <v>11.555</v>
      </c>
      <c r="BW84">
        <v>14.616</v>
      </c>
      <c r="BX84">
        <v>6.1890000000000001</v>
      </c>
      <c r="BY84">
        <v>14.433</v>
      </c>
      <c r="BZ84">
        <v>12.568</v>
      </c>
      <c r="CA84">
        <v>13.192</v>
      </c>
      <c r="CB84">
        <v>11.224</v>
      </c>
      <c r="CC84">
        <v>12.736000000000001</v>
      </c>
      <c r="CD84">
        <v>13.372</v>
      </c>
      <c r="CE84">
        <v>11.513999999999999</v>
      </c>
      <c r="CF84">
        <v>13.009</v>
      </c>
      <c r="CG84">
        <v>12.448</v>
      </c>
      <c r="CH84">
        <v>11.41</v>
      </c>
      <c r="CI84">
        <v>11.06</v>
      </c>
      <c r="CJ84">
        <v>13.728</v>
      </c>
      <c r="CK84">
        <v>12.739000000000001</v>
      </c>
      <c r="CL84">
        <v>14.797000000000001</v>
      </c>
      <c r="CM84">
        <v>13.409000000000001</v>
      </c>
      <c r="CN84">
        <v>13.526999999999999</v>
      </c>
      <c r="CO84">
        <v>13.412000000000001</v>
      </c>
      <c r="CP84">
        <v>8.0670000000000002</v>
      </c>
      <c r="CQ84">
        <v>9.3330000000000002</v>
      </c>
      <c r="CR84">
        <v>13.715</v>
      </c>
      <c r="CS84">
        <v>12.678000000000001</v>
      </c>
      <c r="CT84">
        <v>9.6120000000000001</v>
      </c>
      <c r="CU84">
        <v>14.249000000000001</v>
      </c>
      <c r="CV84">
        <v>6.6710000000000003</v>
      </c>
      <c r="CW84">
        <v>13.313000000000001</v>
      </c>
      <c r="CX84">
        <v>13.743</v>
      </c>
      <c r="CY84">
        <v>11.833</v>
      </c>
      <c r="CZ84">
        <v>14.472</v>
      </c>
      <c r="DA84">
        <v>12.837999999999999</v>
      </c>
      <c r="DB84">
        <v>12.81</v>
      </c>
      <c r="DC84">
        <v>12.186999999999999</v>
      </c>
      <c r="DD84">
        <v>12.962</v>
      </c>
      <c r="DE84">
        <v>6.6120000000000001</v>
      </c>
      <c r="DF84">
        <v>12.723000000000001</v>
      </c>
      <c r="DG84">
        <v>13.425000000000001</v>
      </c>
      <c r="DH84">
        <v>12.798999999999999</v>
      </c>
      <c r="DI84">
        <v>11.057</v>
      </c>
      <c r="DJ84">
        <v>10.513999999999999</v>
      </c>
      <c r="DK84">
        <v>13.763999999999999</v>
      </c>
      <c r="DL84">
        <v>12.504</v>
      </c>
      <c r="DM84">
        <v>12.579000000000001</v>
      </c>
      <c r="DN84">
        <v>14.268000000000001</v>
      </c>
      <c r="DO84">
        <v>13.065</v>
      </c>
      <c r="DP84">
        <v>13.786</v>
      </c>
      <c r="DQ84">
        <v>6.2939999999999996</v>
      </c>
      <c r="DR84">
        <v>14.574999999999999</v>
      </c>
      <c r="DS84">
        <v>12.747999999999999</v>
      </c>
      <c r="DT84">
        <v>13.827999999999999</v>
      </c>
      <c r="DU84">
        <v>14.831</v>
      </c>
      <c r="DV84">
        <v>12.414999999999999</v>
      </c>
      <c r="DW84">
        <v>12.452</v>
      </c>
      <c r="DX84">
        <v>10.657999999999999</v>
      </c>
      <c r="DY84">
        <v>13.12</v>
      </c>
      <c r="DZ84">
        <v>12.597</v>
      </c>
      <c r="EA84">
        <v>13.64</v>
      </c>
      <c r="EB84">
        <v>13.449</v>
      </c>
      <c r="EC84">
        <v>13.064</v>
      </c>
      <c r="ED84">
        <v>11.808999999999999</v>
      </c>
      <c r="EE84">
        <v>13.387</v>
      </c>
      <c r="EF84">
        <v>12.522</v>
      </c>
      <c r="EG84">
        <v>10.393000000000001</v>
      </c>
      <c r="EH84">
        <v>14.895</v>
      </c>
      <c r="EI84">
        <v>11.282</v>
      </c>
      <c r="EJ84">
        <v>10.228</v>
      </c>
      <c r="EK84">
        <v>14.582000000000001</v>
      </c>
      <c r="EL84">
        <v>8.8409999999999993</v>
      </c>
      <c r="EM84">
        <v>13.956</v>
      </c>
      <c r="EN84">
        <v>12.929</v>
      </c>
      <c r="EO84">
        <v>15.006</v>
      </c>
      <c r="EP84">
        <v>9.7370000000000001</v>
      </c>
      <c r="EQ84">
        <v>7.8659999999999997</v>
      </c>
      <c r="ER84">
        <v>13.458</v>
      </c>
      <c r="ES84">
        <v>12.616</v>
      </c>
      <c r="ET84">
        <v>13.247</v>
      </c>
      <c r="EU84">
        <v>13.176</v>
      </c>
      <c r="EV84">
        <v>10.837</v>
      </c>
      <c r="EW84">
        <v>13.215999999999999</v>
      </c>
      <c r="EX84">
        <v>13.065</v>
      </c>
      <c r="EY84">
        <v>11.349</v>
      </c>
      <c r="EZ84">
        <v>12.826000000000001</v>
      </c>
      <c r="FA84">
        <v>14.06</v>
      </c>
      <c r="FB84">
        <v>14.182</v>
      </c>
      <c r="FC84">
        <v>14.462</v>
      </c>
      <c r="FD84">
        <v>13.657999999999999</v>
      </c>
      <c r="FE84">
        <v>11.827</v>
      </c>
      <c r="FF84">
        <v>11.616</v>
      </c>
      <c r="FG84">
        <v>10.673</v>
      </c>
      <c r="FH84">
        <v>10.494</v>
      </c>
      <c r="FI84">
        <v>13.355</v>
      </c>
      <c r="FJ84">
        <v>12.829000000000001</v>
      </c>
      <c r="FK84">
        <v>8.2940000000000005</v>
      </c>
      <c r="FL84">
        <v>13.282</v>
      </c>
      <c r="FM84">
        <v>13.186999999999999</v>
      </c>
      <c r="FN84">
        <v>13.239000000000001</v>
      </c>
      <c r="FO84">
        <v>13.367000000000001</v>
      </c>
      <c r="FP84">
        <v>12.06</v>
      </c>
      <c r="FQ84">
        <v>11.343</v>
      </c>
      <c r="FR84">
        <v>13.177</v>
      </c>
      <c r="FS84">
        <v>10.439</v>
      </c>
      <c r="FT84">
        <v>13.714</v>
      </c>
      <c r="FU84">
        <v>12.573</v>
      </c>
      <c r="FV84">
        <v>13.754</v>
      </c>
      <c r="FW84">
        <v>13.449</v>
      </c>
      <c r="FX84">
        <v>7.7930000000000001</v>
      </c>
      <c r="FY84">
        <v>13.662000000000001</v>
      </c>
      <c r="FZ84">
        <v>9.7129999999999992</v>
      </c>
      <c r="GA84">
        <v>6.1779999999999999</v>
      </c>
      <c r="GB84">
        <v>10.041</v>
      </c>
      <c r="GC84">
        <v>13.968</v>
      </c>
      <c r="GD84">
        <v>10.694000000000001</v>
      </c>
      <c r="GE84">
        <v>11.981999999999999</v>
      </c>
      <c r="GF84">
        <v>13.553000000000001</v>
      </c>
      <c r="GG84">
        <v>11.827999999999999</v>
      </c>
      <c r="GH84">
        <v>13.025</v>
      </c>
      <c r="GI84">
        <v>14.874000000000001</v>
      </c>
      <c r="GJ84">
        <v>13.895</v>
      </c>
      <c r="GK84">
        <v>12.957000000000001</v>
      </c>
      <c r="GL84">
        <v>10.042</v>
      </c>
      <c r="GM84">
        <v>11.599</v>
      </c>
      <c r="GN84">
        <v>14.284000000000001</v>
      </c>
      <c r="GO84">
        <v>12.433</v>
      </c>
      <c r="GP84">
        <v>12.659000000000001</v>
      </c>
      <c r="GQ84">
        <v>11.481999999999999</v>
      </c>
      <c r="GR84">
        <v>9.4169999999999998</v>
      </c>
      <c r="GS84">
        <v>13.534000000000001</v>
      </c>
      <c r="GT84">
        <v>13.776</v>
      </c>
      <c r="GU84">
        <v>7.5990000000000002</v>
      </c>
      <c r="GV84">
        <v>14.13</v>
      </c>
      <c r="GW84">
        <v>14.547000000000001</v>
      </c>
      <c r="GX84">
        <v>13.581</v>
      </c>
      <c r="GY84">
        <v>13.676</v>
      </c>
      <c r="GZ84">
        <v>13.81</v>
      </c>
      <c r="HA84">
        <v>11.699</v>
      </c>
      <c r="HB84">
        <v>7.1879999999999997</v>
      </c>
      <c r="HC84">
        <v>7.952</v>
      </c>
      <c r="HD84">
        <v>13.097</v>
      </c>
      <c r="HE84">
        <v>13.706</v>
      </c>
      <c r="HF84">
        <v>8.5939999999999994</v>
      </c>
      <c r="HG84">
        <v>13.762</v>
      </c>
      <c r="HH84">
        <v>10.818</v>
      </c>
      <c r="HI84">
        <v>11.577</v>
      </c>
      <c r="HJ84">
        <v>12.204000000000001</v>
      </c>
      <c r="HK84">
        <v>14.183</v>
      </c>
      <c r="HL84">
        <v>14.448</v>
      </c>
      <c r="HM84">
        <v>8.8610000000000007</v>
      </c>
      <c r="HN84">
        <v>12.134</v>
      </c>
      <c r="HO84">
        <v>8.7550000000000008</v>
      </c>
      <c r="HP84">
        <v>13.359</v>
      </c>
      <c r="HQ84">
        <v>12.555</v>
      </c>
      <c r="HR84">
        <v>8.5830000000000002</v>
      </c>
      <c r="HS84">
        <v>8.1310000000000002</v>
      </c>
      <c r="HT84">
        <v>11.507</v>
      </c>
      <c r="HU84">
        <v>12.084</v>
      </c>
      <c r="HV84">
        <v>11.943</v>
      </c>
      <c r="HW84">
        <v>13.465</v>
      </c>
      <c r="HX84">
        <v>13.384</v>
      </c>
      <c r="HY84">
        <v>14.163</v>
      </c>
      <c r="HZ84">
        <v>13.327999999999999</v>
      </c>
      <c r="IA84">
        <v>12.9</v>
      </c>
      <c r="IB84">
        <v>12.507</v>
      </c>
      <c r="IC84">
        <v>12.095000000000001</v>
      </c>
      <c r="ID84">
        <v>10.461</v>
      </c>
      <c r="IE84">
        <v>12.756</v>
      </c>
      <c r="IF84">
        <v>14.256</v>
      </c>
      <c r="IG84">
        <v>14.010999999999999</v>
      </c>
      <c r="IH84">
        <v>11.215</v>
      </c>
      <c r="II84">
        <v>13.917999999999999</v>
      </c>
      <c r="IJ84">
        <v>11.978999999999999</v>
      </c>
      <c r="IK84">
        <v>12.833</v>
      </c>
      <c r="IL84">
        <v>14.989000000000001</v>
      </c>
      <c r="IM84">
        <v>13.057</v>
      </c>
      <c r="IN84">
        <v>13.253</v>
      </c>
      <c r="IO84">
        <v>13.459</v>
      </c>
      <c r="IP84">
        <v>13.478999999999999</v>
      </c>
      <c r="IQ84">
        <v>7.117</v>
      </c>
      <c r="IR84">
        <v>12.023</v>
      </c>
      <c r="IS84">
        <v>13.007999999999999</v>
      </c>
      <c r="IT84">
        <v>13.38</v>
      </c>
      <c r="IU84">
        <v>12.715999999999999</v>
      </c>
      <c r="IV84">
        <v>11.917999999999999</v>
      </c>
      <c r="IW84">
        <v>10.27</v>
      </c>
      <c r="IX84">
        <v>13.413</v>
      </c>
      <c r="IY84">
        <v>13.222</v>
      </c>
      <c r="IZ84">
        <v>12.904</v>
      </c>
      <c r="JA84">
        <v>13.515000000000001</v>
      </c>
      <c r="JB84">
        <v>12.087</v>
      </c>
      <c r="JC84">
        <v>13.702999999999999</v>
      </c>
      <c r="JD84">
        <v>12.747</v>
      </c>
      <c r="JE84">
        <v>10.227</v>
      </c>
      <c r="JF84">
        <v>13.034000000000001</v>
      </c>
      <c r="JG84">
        <v>14.378</v>
      </c>
      <c r="JH84">
        <v>12.398</v>
      </c>
      <c r="JI84">
        <v>8.0359999999999996</v>
      </c>
      <c r="JJ84">
        <v>12.923999999999999</v>
      </c>
      <c r="JK84">
        <v>9.1630000000000003</v>
      </c>
      <c r="JL84">
        <v>12.739000000000001</v>
      </c>
      <c r="JM84">
        <v>14.573</v>
      </c>
      <c r="JN84">
        <v>12.558</v>
      </c>
      <c r="JO84">
        <v>13.156000000000001</v>
      </c>
      <c r="JP84">
        <v>9.6890000000000001</v>
      </c>
      <c r="JQ84">
        <v>13.545</v>
      </c>
      <c r="JR84">
        <v>12.491</v>
      </c>
      <c r="JS84">
        <v>14.11</v>
      </c>
      <c r="JT84">
        <v>12.901</v>
      </c>
      <c r="JU84">
        <v>12.706</v>
      </c>
      <c r="JV84">
        <v>12.444000000000001</v>
      </c>
      <c r="JW84">
        <v>14.647</v>
      </c>
      <c r="JX84">
        <v>12.824</v>
      </c>
      <c r="JY84">
        <v>9.1</v>
      </c>
      <c r="JZ84">
        <v>7.774</v>
      </c>
      <c r="KA84">
        <v>11.723000000000001</v>
      </c>
      <c r="KB84">
        <v>12.516999999999999</v>
      </c>
      <c r="KC84">
        <v>12.984</v>
      </c>
      <c r="KD84">
        <v>12.465</v>
      </c>
      <c r="KE84">
        <v>9.4789999999999992</v>
      </c>
      <c r="KF84">
        <v>9.0229999999999997</v>
      </c>
      <c r="KG84">
        <v>14.129</v>
      </c>
      <c r="KH84">
        <v>14.736000000000001</v>
      </c>
      <c r="KI84">
        <v>13.276999999999999</v>
      </c>
      <c r="KJ84">
        <v>12.622</v>
      </c>
      <c r="KK84">
        <v>12.882999999999999</v>
      </c>
      <c r="KL84">
        <v>10.523999999999999</v>
      </c>
      <c r="KM84">
        <v>8.8780000000000001</v>
      </c>
      <c r="KN84">
        <v>13.308</v>
      </c>
      <c r="KO84">
        <v>12.471</v>
      </c>
      <c r="KP84">
        <v>10.564</v>
      </c>
      <c r="KQ84">
        <v>8.9740000000000002</v>
      </c>
      <c r="KR84">
        <v>9.0079999999999991</v>
      </c>
    </row>
    <row r="85" spans="1:304" x14ac:dyDescent="0.25">
      <c r="A85">
        <v>2020</v>
      </c>
      <c r="B85">
        <v>10</v>
      </c>
      <c r="C85">
        <v>0.88500000000000001</v>
      </c>
      <c r="D85">
        <v>9.0839999999999996</v>
      </c>
      <c r="E85">
        <v>9.2089999999999996</v>
      </c>
      <c r="F85">
        <v>8.59</v>
      </c>
      <c r="G85">
        <v>8.5269999999999992</v>
      </c>
      <c r="H85">
        <v>8.1929999999999996</v>
      </c>
      <c r="I85">
        <v>2.0569999999999999</v>
      </c>
      <c r="J85">
        <v>1.827</v>
      </c>
      <c r="K85">
        <v>7.43</v>
      </c>
      <c r="L85">
        <v>8.1029999999999998</v>
      </c>
      <c r="M85">
        <v>7.274</v>
      </c>
      <c r="N85">
        <v>7.5979999999999999</v>
      </c>
      <c r="O85">
        <v>4.2249999999999996</v>
      </c>
      <c r="P85">
        <v>10.161</v>
      </c>
      <c r="Q85">
        <v>3.3940000000000001</v>
      </c>
      <c r="R85">
        <v>8.51</v>
      </c>
      <c r="S85">
        <v>6.2709999999999999</v>
      </c>
      <c r="T85">
        <v>10.648999999999999</v>
      </c>
      <c r="U85">
        <v>6.5339999999999998</v>
      </c>
      <c r="V85">
        <v>8.1059999999999999</v>
      </c>
      <c r="W85">
        <v>8.9060000000000006</v>
      </c>
      <c r="X85">
        <v>9.1910000000000007</v>
      </c>
      <c r="Y85">
        <v>10.167</v>
      </c>
      <c r="Z85">
        <v>4.5739999999999998</v>
      </c>
      <c r="AA85">
        <v>10.875999999999999</v>
      </c>
      <c r="AB85">
        <v>10.194000000000001</v>
      </c>
      <c r="AC85">
        <v>6.7990000000000004</v>
      </c>
      <c r="AD85">
        <v>7.6120000000000001</v>
      </c>
      <c r="AE85">
        <v>9.0510000000000002</v>
      </c>
      <c r="AF85">
        <v>7.4390000000000001</v>
      </c>
      <c r="AG85">
        <v>6.2409999999999997</v>
      </c>
      <c r="AH85">
        <v>3.9369999999999998</v>
      </c>
      <c r="AI85">
        <v>5.843</v>
      </c>
      <c r="AJ85">
        <v>7.891</v>
      </c>
      <c r="AK85">
        <v>8.6219999999999999</v>
      </c>
      <c r="AL85">
        <v>8.1379999999999999</v>
      </c>
      <c r="AM85">
        <v>8.2219999999999995</v>
      </c>
      <c r="AN85">
        <v>10.169</v>
      </c>
      <c r="AO85">
        <v>8.3079999999999998</v>
      </c>
      <c r="AP85">
        <v>7.2480000000000002</v>
      </c>
      <c r="AQ85">
        <v>10.413</v>
      </c>
      <c r="AR85">
        <v>7.875</v>
      </c>
      <c r="AS85">
        <v>11.949</v>
      </c>
      <c r="AT85">
        <v>6.7329999999999997</v>
      </c>
      <c r="AU85">
        <v>7.1449999999999996</v>
      </c>
      <c r="AV85">
        <v>7.4880000000000004</v>
      </c>
      <c r="AW85">
        <v>8.2110000000000003</v>
      </c>
      <c r="AX85">
        <v>8.3000000000000007</v>
      </c>
      <c r="AY85">
        <v>7.84</v>
      </c>
      <c r="AZ85">
        <v>3.5569999999999999</v>
      </c>
      <c r="BA85">
        <v>8.1999999999999993</v>
      </c>
      <c r="BB85">
        <v>3.9209999999999998</v>
      </c>
      <c r="BC85">
        <v>5.9809999999999999</v>
      </c>
      <c r="BD85">
        <v>8.327</v>
      </c>
      <c r="BE85">
        <v>8.5359999999999996</v>
      </c>
      <c r="BF85">
        <v>8.609</v>
      </c>
      <c r="BG85">
        <v>2.8690000000000002</v>
      </c>
      <c r="BH85">
        <v>1.083</v>
      </c>
      <c r="BI85">
        <v>7.6459999999999999</v>
      </c>
      <c r="BJ85">
        <v>10.129</v>
      </c>
      <c r="BK85">
        <v>8.5619999999999994</v>
      </c>
      <c r="BL85">
        <v>8.4719999999999995</v>
      </c>
      <c r="BM85">
        <v>6.7510000000000003</v>
      </c>
      <c r="BN85">
        <v>7.9370000000000003</v>
      </c>
      <c r="BO85">
        <v>7.6710000000000003</v>
      </c>
      <c r="BP85">
        <v>10.222</v>
      </c>
      <c r="BQ85">
        <v>4.9269999999999996</v>
      </c>
      <c r="BR85">
        <v>8.9429999999999996</v>
      </c>
      <c r="BS85">
        <v>8.9429999999999996</v>
      </c>
      <c r="BT85">
        <v>4.2990000000000004</v>
      </c>
      <c r="BU85">
        <v>3.3969999999999998</v>
      </c>
      <c r="BV85">
        <v>7.0860000000000003</v>
      </c>
      <c r="BW85">
        <v>10.597</v>
      </c>
      <c r="BX85">
        <v>2.351</v>
      </c>
      <c r="BY85">
        <v>10.396000000000001</v>
      </c>
      <c r="BZ85">
        <v>8.1560000000000006</v>
      </c>
      <c r="CA85">
        <v>9.0299999999999994</v>
      </c>
      <c r="CB85">
        <v>6.7149999999999999</v>
      </c>
      <c r="CC85">
        <v>8.2780000000000005</v>
      </c>
      <c r="CD85">
        <v>9.0109999999999992</v>
      </c>
      <c r="CE85">
        <v>6.9240000000000004</v>
      </c>
      <c r="CF85">
        <v>8.4979999999999993</v>
      </c>
      <c r="CG85">
        <v>8.6470000000000002</v>
      </c>
      <c r="CH85">
        <v>7.0309999999999997</v>
      </c>
      <c r="CI85">
        <v>6.6559999999999997</v>
      </c>
      <c r="CJ85">
        <v>9.4179999999999993</v>
      </c>
      <c r="CK85">
        <v>9.0250000000000004</v>
      </c>
      <c r="CL85">
        <v>10.831</v>
      </c>
      <c r="CM85">
        <v>9.0030000000000001</v>
      </c>
      <c r="CN85">
        <v>9.6549999999999994</v>
      </c>
      <c r="CO85">
        <v>9.5890000000000004</v>
      </c>
      <c r="CP85">
        <v>1.7370000000000001</v>
      </c>
      <c r="CQ85">
        <v>4.726</v>
      </c>
      <c r="CR85">
        <v>9.0060000000000002</v>
      </c>
      <c r="CS85">
        <v>8.4939999999999998</v>
      </c>
      <c r="CT85">
        <v>3.7370000000000001</v>
      </c>
      <c r="CU85">
        <v>10.196</v>
      </c>
      <c r="CV85">
        <v>0.81200000000000006</v>
      </c>
      <c r="CW85">
        <v>9.1329999999999991</v>
      </c>
      <c r="CX85">
        <v>9.9510000000000005</v>
      </c>
      <c r="CY85">
        <v>7.2389999999999999</v>
      </c>
      <c r="CZ85">
        <v>10.657999999999999</v>
      </c>
      <c r="DA85">
        <v>8.5510000000000002</v>
      </c>
      <c r="DB85">
        <v>8.25</v>
      </c>
      <c r="DC85">
        <v>7.85</v>
      </c>
      <c r="DD85">
        <v>8.8019999999999996</v>
      </c>
      <c r="DE85">
        <v>0.57299999999999995</v>
      </c>
      <c r="DF85">
        <v>8.2210000000000001</v>
      </c>
      <c r="DG85">
        <v>9.641</v>
      </c>
      <c r="DH85">
        <v>8.06</v>
      </c>
      <c r="DI85">
        <v>6.5650000000000004</v>
      </c>
      <c r="DJ85">
        <v>5.8860000000000001</v>
      </c>
      <c r="DK85">
        <v>9.9060000000000006</v>
      </c>
      <c r="DL85">
        <v>7.9939999999999998</v>
      </c>
      <c r="DM85">
        <v>7.96</v>
      </c>
      <c r="DN85">
        <v>10.074999999999999</v>
      </c>
      <c r="DO85">
        <v>8.19</v>
      </c>
      <c r="DP85">
        <v>9.4809999999999999</v>
      </c>
      <c r="DQ85">
        <v>1.216</v>
      </c>
      <c r="DR85">
        <v>10.654999999999999</v>
      </c>
      <c r="DS85">
        <v>7.9109999999999996</v>
      </c>
      <c r="DT85">
        <v>9.7919999999999998</v>
      </c>
      <c r="DU85">
        <v>10.965999999999999</v>
      </c>
      <c r="DV85">
        <v>7.9260000000000002</v>
      </c>
      <c r="DW85">
        <v>7.7859999999999996</v>
      </c>
      <c r="DX85">
        <v>6.1689999999999996</v>
      </c>
      <c r="DY85">
        <v>8.9269999999999996</v>
      </c>
      <c r="DZ85">
        <v>8.51</v>
      </c>
      <c r="EA85">
        <v>9.1229999999999993</v>
      </c>
      <c r="EB85">
        <v>8.8970000000000002</v>
      </c>
      <c r="EC85">
        <v>8.7170000000000005</v>
      </c>
      <c r="ED85">
        <v>7.1289999999999996</v>
      </c>
      <c r="EE85">
        <v>8.7750000000000004</v>
      </c>
      <c r="EF85">
        <v>8.7560000000000002</v>
      </c>
      <c r="EG85">
        <v>6.0010000000000003</v>
      </c>
      <c r="EH85">
        <v>10.896000000000001</v>
      </c>
      <c r="EI85">
        <v>6.657</v>
      </c>
      <c r="EJ85">
        <v>4.3070000000000004</v>
      </c>
      <c r="EK85">
        <v>10.587999999999999</v>
      </c>
      <c r="EL85">
        <v>3.3719999999999999</v>
      </c>
      <c r="EM85">
        <v>9.8840000000000003</v>
      </c>
      <c r="EN85">
        <v>8.4179999999999993</v>
      </c>
      <c r="EO85">
        <v>11.000999999999999</v>
      </c>
      <c r="EP85">
        <v>5.2809999999999997</v>
      </c>
      <c r="EQ85">
        <v>2.46</v>
      </c>
      <c r="ER85">
        <v>8.9309999999999992</v>
      </c>
      <c r="ES85">
        <v>8.8010000000000002</v>
      </c>
      <c r="ET85">
        <v>8.9480000000000004</v>
      </c>
      <c r="EU85">
        <v>8.57</v>
      </c>
      <c r="EV85">
        <v>6.2469999999999999</v>
      </c>
      <c r="EW85">
        <v>8.6579999999999995</v>
      </c>
      <c r="EX85">
        <v>8.6289999999999996</v>
      </c>
      <c r="EY85">
        <v>7.1710000000000003</v>
      </c>
      <c r="EZ85">
        <v>8.0280000000000005</v>
      </c>
      <c r="FA85">
        <v>9.7739999999999991</v>
      </c>
      <c r="FB85">
        <v>10.016999999999999</v>
      </c>
      <c r="FC85">
        <v>10.497999999999999</v>
      </c>
      <c r="FD85">
        <v>9.1980000000000004</v>
      </c>
      <c r="FE85">
        <v>7.1349999999999998</v>
      </c>
      <c r="FF85">
        <v>7.2320000000000002</v>
      </c>
      <c r="FG85">
        <v>6.1909999999999998</v>
      </c>
      <c r="FH85">
        <v>5.6040000000000001</v>
      </c>
      <c r="FI85">
        <v>8.6890000000000001</v>
      </c>
      <c r="FJ85">
        <v>8.5380000000000003</v>
      </c>
      <c r="FK85">
        <v>2.984</v>
      </c>
      <c r="FL85">
        <v>8.9329999999999998</v>
      </c>
      <c r="FM85">
        <v>8.6620000000000008</v>
      </c>
      <c r="FN85">
        <v>8.8689999999999998</v>
      </c>
      <c r="FO85">
        <v>9.5540000000000003</v>
      </c>
      <c r="FP85">
        <v>7.71</v>
      </c>
      <c r="FQ85">
        <v>6.7130000000000001</v>
      </c>
      <c r="FR85">
        <v>9.1590000000000007</v>
      </c>
      <c r="FS85">
        <v>5.9589999999999996</v>
      </c>
      <c r="FT85">
        <v>9.3800000000000008</v>
      </c>
      <c r="FU85">
        <v>8.8320000000000007</v>
      </c>
      <c r="FV85">
        <v>9.3810000000000002</v>
      </c>
      <c r="FW85">
        <v>9.4380000000000006</v>
      </c>
      <c r="FX85">
        <v>2.4529999999999998</v>
      </c>
      <c r="FY85">
        <v>9.3659999999999997</v>
      </c>
      <c r="FZ85">
        <v>3.8</v>
      </c>
      <c r="GA85">
        <v>1.7410000000000001</v>
      </c>
      <c r="GB85">
        <v>4.8470000000000004</v>
      </c>
      <c r="GC85">
        <v>10.226000000000001</v>
      </c>
      <c r="GD85">
        <v>6.1870000000000003</v>
      </c>
      <c r="GE85">
        <v>7.3520000000000003</v>
      </c>
      <c r="GF85">
        <v>8.9990000000000006</v>
      </c>
      <c r="GG85">
        <v>7.3209999999999997</v>
      </c>
      <c r="GH85">
        <v>8.2490000000000006</v>
      </c>
      <c r="GI85">
        <v>11.382999999999999</v>
      </c>
      <c r="GJ85">
        <v>9.9710000000000001</v>
      </c>
      <c r="GK85">
        <v>8.3179999999999996</v>
      </c>
      <c r="GL85">
        <v>4.2930000000000001</v>
      </c>
      <c r="GM85">
        <v>7.0650000000000004</v>
      </c>
      <c r="GN85">
        <v>10.576000000000001</v>
      </c>
      <c r="GO85">
        <v>7.9089999999999998</v>
      </c>
      <c r="GP85">
        <v>8.0259999999999998</v>
      </c>
      <c r="GQ85">
        <v>6.8840000000000003</v>
      </c>
      <c r="GR85">
        <v>4.8410000000000002</v>
      </c>
      <c r="GS85">
        <v>8.83</v>
      </c>
      <c r="GT85">
        <v>9.1720000000000006</v>
      </c>
      <c r="GU85">
        <v>2.222</v>
      </c>
      <c r="GV85">
        <v>10.379</v>
      </c>
      <c r="GW85">
        <v>10.528</v>
      </c>
      <c r="GX85">
        <v>9.3219999999999992</v>
      </c>
      <c r="GY85">
        <v>9.1880000000000006</v>
      </c>
      <c r="GZ85">
        <v>9.1720000000000006</v>
      </c>
      <c r="HA85">
        <v>7.2469999999999999</v>
      </c>
      <c r="HB85">
        <v>3.153</v>
      </c>
      <c r="HC85">
        <v>2.8849999999999998</v>
      </c>
      <c r="HD85">
        <v>8.33</v>
      </c>
      <c r="HE85">
        <v>9.3390000000000004</v>
      </c>
      <c r="HF85">
        <v>4.226</v>
      </c>
      <c r="HG85">
        <v>9.1120000000000001</v>
      </c>
      <c r="HH85">
        <v>6.4329999999999998</v>
      </c>
      <c r="HI85">
        <v>7.3019999999999996</v>
      </c>
      <c r="HJ85">
        <v>7.4589999999999996</v>
      </c>
      <c r="HK85">
        <v>10.26</v>
      </c>
      <c r="HL85">
        <v>10.537000000000001</v>
      </c>
      <c r="HM85">
        <v>4.45</v>
      </c>
      <c r="HN85">
        <v>8.2170000000000005</v>
      </c>
      <c r="HO85">
        <v>4.5670000000000002</v>
      </c>
      <c r="HP85">
        <v>9.0449999999999999</v>
      </c>
      <c r="HQ85">
        <v>8.1229999999999993</v>
      </c>
      <c r="HR85">
        <v>4.0819999999999999</v>
      </c>
      <c r="HS85">
        <v>3.91</v>
      </c>
      <c r="HT85">
        <v>6.8730000000000002</v>
      </c>
      <c r="HU85">
        <v>8.032</v>
      </c>
      <c r="HV85">
        <v>7.484</v>
      </c>
      <c r="HW85">
        <v>8.7780000000000005</v>
      </c>
      <c r="HX85">
        <v>8.8729999999999993</v>
      </c>
      <c r="HY85">
        <v>10.497</v>
      </c>
      <c r="HZ85">
        <v>8.9390000000000001</v>
      </c>
      <c r="IA85">
        <v>8.3469999999999995</v>
      </c>
      <c r="IB85">
        <v>7.9710000000000001</v>
      </c>
      <c r="IC85">
        <v>7.4219999999999997</v>
      </c>
      <c r="ID85">
        <v>6.14</v>
      </c>
      <c r="IE85">
        <v>8.7940000000000005</v>
      </c>
      <c r="IF85">
        <v>10.444000000000001</v>
      </c>
      <c r="IG85">
        <v>10.242000000000001</v>
      </c>
      <c r="IH85">
        <v>6.7729999999999997</v>
      </c>
      <c r="II85">
        <v>9.7710000000000008</v>
      </c>
      <c r="IJ85">
        <v>8.1120000000000001</v>
      </c>
      <c r="IK85">
        <v>8.2680000000000007</v>
      </c>
      <c r="IL85">
        <v>11.487</v>
      </c>
      <c r="IM85">
        <v>8.6219999999999999</v>
      </c>
      <c r="IN85">
        <v>9.1720000000000006</v>
      </c>
      <c r="IO85">
        <v>9.1579999999999995</v>
      </c>
      <c r="IP85">
        <v>8.86</v>
      </c>
      <c r="IQ85">
        <v>2.8969999999999998</v>
      </c>
      <c r="IR85">
        <v>7.3819999999999997</v>
      </c>
      <c r="IS85">
        <v>8.4369999999999994</v>
      </c>
      <c r="IT85">
        <v>8.9749999999999996</v>
      </c>
      <c r="IU85">
        <v>8.9290000000000003</v>
      </c>
      <c r="IV85">
        <v>7.8879999999999999</v>
      </c>
      <c r="IW85">
        <v>5.4340000000000002</v>
      </c>
      <c r="IX85">
        <v>8.6010000000000009</v>
      </c>
      <c r="IY85">
        <v>8.5190000000000001</v>
      </c>
      <c r="IZ85">
        <v>8.0719999999999992</v>
      </c>
      <c r="JA85">
        <v>9.0280000000000005</v>
      </c>
      <c r="JB85">
        <v>8.1489999999999991</v>
      </c>
      <c r="JC85">
        <v>8.9779999999999998</v>
      </c>
      <c r="JD85">
        <v>8.2409999999999997</v>
      </c>
      <c r="JE85">
        <v>5.8209999999999997</v>
      </c>
      <c r="JF85">
        <v>8.452</v>
      </c>
      <c r="JG85">
        <v>10.531000000000001</v>
      </c>
      <c r="JH85">
        <v>8.141</v>
      </c>
      <c r="JI85">
        <v>3.11</v>
      </c>
      <c r="JJ85">
        <v>8.41</v>
      </c>
      <c r="JK85">
        <v>4.056</v>
      </c>
      <c r="JL85">
        <v>8.1639999999999997</v>
      </c>
      <c r="JM85">
        <v>10.374000000000001</v>
      </c>
      <c r="JN85">
        <v>8.1859999999999999</v>
      </c>
      <c r="JO85">
        <v>8.7270000000000003</v>
      </c>
      <c r="JP85">
        <v>4.7699999999999996</v>
      </c>
      <c r="JQ85">
        <v>9.1910000000000007</v>
      </c>
      <c r="JR85">
        <v>8.6370000000000005</v>
      </c>
      <c r="JS85">
        <v>9.9920000000000009</v>
      </c>
      <c r="JT85">
        <v>8.0350000000000001</v>
      </c>
      <c r="JU85">
        <v>8.5419999999999998</v>
      </c>
      <c r="JV85">
        <v>8.093</v>
      </c>
      <c r="JW85">
        <v>11.231999999999999</v>
      </c>
      <c r="JX85">
        <v>8.3439999999999994</v>
      </c>
      <c r="JY85">
        <v>5.093</v>
      </c>
      <c r="JZ85">
        <v>3.74</v>
      </c>
      <c r="KA85">
        <v>7.2359999999999998</v>
      </c>
      <c r="KB85">
        <v>8.2200000000000006</v>
      </c>
      <c r="KC85">
        <v>8.4179999999999993</v>
      </c>
      <c r="KD85">
        <v>8.6189999999999998</v>
      </c>
      <c r="KE85">
        <v>4.9809999999999999</v>
      </c>
      <c r="KF85">
        <v>2.899</v>
      </c>
      <c r="KG85">
        <v>10.11</v>
      </c>
      <c r="KH85">
        <v>11.053000000000001</v>
      </c>
      <c r="KI85">
        <v>8.9039999999999999</v>
      </c>
      <c r="KJ85">
        <v>7.915</v>
      </c>
      <c r="KK85">
        <v>9.125</v>
      </c>
      <c r="KL85">
        <v>5.8010000000000002</v>
      </c>
      <c r="KM85">
        <v>4.67</v>
      </c>
      <c r="KN85">
        <v>8.8170000000000002</v>
      </c>
      <c r="KO85">
        <v>7.9260000000000002</v>
      </c>
      <c r="KP85">
        <v>6.0880000000000001</v>
      </c>
      <c r="KQ85">
        <v>3.125</v>
      </c>
      <c r="KR85">
        <v>3.3130000000000002</v>
      </c>
    </row>
    <row r="86" spans="1:304" x14ac:dyDescent="0.25">
      <c r="A86">
        <v>2020</v>
      </c>
      <c r="B86">
        <v>11</v>
      </c>
      <c r="C86">
        <v>-0.82199999999999995</v>
      </c>
      <c r="D86">
        <v>6.681</v>
      </c>
      <c r="E86">
        <v>7.2229999999999999</v>
      </c>
      <c r="F86">
        <v>6.6929999999999996</v>
      </c>
      <c r="G86">
        <v>6.085</v>
      </c>
      <c r="H86">
        <v>6.0839999999999996</v>
      </c>
      <c r="I86">
        <v>-1.036</v>
      </c>
      <c r="J86">
        <v>-1.175</v>
      </c>
      <c r="K86">
        <v>4.8280000000000003</v>
      </c>
      <c r="L86">
        <v>6.0949999999999998</v>
      </c>
      <c r="M86">
        <v>4.71</v>
      </c>
      <c r="N86">
        <v>5.8140000000000001</v>
      </c>
      <c r="O86">
        <v>1.1679999999999999</v>
      </c>
      <c r="P86">
        <v>7.35</v>
      </c>
      <c r="Q86">
        <v>0.107</v>
      </c>
      <c r="R86">
        <v>6.335</v>
      </c>
      <c r="S86">
        <v>3.4159999999999999</v>
      </c>
      <c r="T86">
        <v>7.7130000000000001</v>
      </c>
      <c r="U86">
        <v>4.0209999999999999</v>
      </c>
      <c r="V86">
        <v>5.9269999999999996</v>
      </c>
      <c r="W86">
        <v>6.351</v>
      </c>
      <c r="X86">
        <v>6.8070000000000004</v>
      </c>
      <c r="Y86">
        <v>7.4349999999999996</v>
      </c>
      <c r="Z86">
        <v>0.98299999999999998</v>
      </c>
      <c r="AA86">
        <v>7.9669999999999996</v>
      </c>
      <c r="AB86">
        <v>7.5819999999999999</v>
      </c>
      <c r="AC86">
        <v>3.9</v>
      </c>
      <c r="AD86">
        <v>5.8630000000000004</v>
      </c>
      <c r="AE86">
        <v>6.6769999999999996</v>
      </c>
      <c r="AF86">
        <v>5.3319999999999999</v>
      </c>
      <c r="AG86">
        <v>2.9710000000000001</v>
      </c>
      <c r="AH86">
        <v>0.45800000000000002</v>
      </c>
      <c r="AI86">
        <v>3.052</v>
      </c>
      <c r="AJ86">
        <v>5.633</v>
      </c>
      <c r="AK86">
        <v>6.1050000000000004</v>
      </c>
      <c r="AL86">
        <v>5.899</v>
      </c>
      <c r="AM86">
        <v>6.165</v>
      </c>
      <c r="AN86">
        <v>7.3680000000000003</v>
      </c>
      <c r="AO86">
        <v>6.4050000000000002</v>
      </c>
      <c r="AP86">
        <v>4.6959999999999997</v>
      </c>
      <c r="AQ86">
        <v>7.94</v>
      </c>
      <c r="AR86">
        <v>5.8890000000000002</v>
      </c>
      <c r="AS86">
        <v>8.7629999999999999</v>
      </c>
      <c r="AT86">
        <v>4.0490000000000004</v>
      </c>
      <c r="AU86">
        <v>4.4950000000000001</v>
      </c>
      <c r="AV86">
        <v>5.0860000000000003</v>
      </c>
      <c r="AW86">
        <v>6.2779999999999996</v>
      </c>
      <c r="AX86">
        <v>6.1390000000000002</v>
      </c>
      <c r="AY86">
        <v>5.2110000000000003</v>
      </c>
      <c r="AZ86">
        <v>0.39700000000000002</v>
      </c>
      <c r="BA86">
        <v>6.3280000000000003</v>
      </c>
      <c r="BB86">
        <v>0.65600000000000003</v>
      </c>
      <c r="BC86">
        <v>3.411</v>
      </c>
      <c r="BD86">
        <v>6.0039999999999996</v>
      </c>
      <c r="BE86">
        <v>6.2</v>
      </c>
      <c r="BF86">
        <v>6.593</v>
      </c>
      <c r="BG86">
        <v>-0.41899999999999998</v>
      </c>
      <c r="BH86">
        <v>-2.4649999999999999</v>
      </c>
      <c r="BI86">
        <v>5.1440000000000001</v>
      </c>
      <c r="BJ86">
        <v>7.8150000000000004</v>
      </c>
      <c r="BK86">
        <v>6.6580000000000004</v>
      </c>
      <c r="BL86">
        <v>6.133</v>
      </c>
      <c r="BM86">
        <v>3.774</v>
      </c>
      <c r="BN86">
        <v>6.0030000000000001</v>
      </c>
      <c r="BO86">
        <v>5.4720000000000004</v>
      </c>
      <c r="BP86">
        <v>7.7190000000000003</v>
      </c>
      <c r="BQ86">
        <v>1.458</v>
      </c>
      <c r="BR86">
        <v>6.6509999999999998</v>
      </c>
      <c r="BS86">
        <v>6.343</v>
      </c>
      <c r="BT86">
        <v>1.6220000000000001</v>
      </c>
      <c r="BU86">
        <v>-7.0999999999999994E-2</v>
      </c>
      <c r="BV86">
        <v>4.4400000000000004</v>
      </c>
      <c r="BW86">
        <v>7.6580000000000004</v>
      </c>
      <c r="BX86">
        <v>-7.0000000000000001E-3</v>
      </c>
      <c r="BY86">
        <v>7.5529999999999999</v>
      </c>
      <c r="BZ86">
        <v>6.2030000000000003</v>
      </c>
      <c r="CA86">
        <v>7.0419999999999998</v>
      </c>
      <c r="CB86">
        <v>4.0839999999999996</v>
      </c>
      <c r="CC86">
        <v>6.274</v>
      </c>
      <c r="CD86">
        <v>6.4349999999999996</v>
      </c>
      <c r="CE86">
        <v>4.0570000000000004</v>
      </c>
      <c r="CF86">
        <v>6.2389999999999999</v>
      </c>
      <c r="CG86">
        <v>6.4039999999999999</v>
      </c>
      <c r="CH86">
        <v>4.4589999999999996</v>
      </c>
      <c r="CI86">
        <v>3.6259999999999999</v>
      </c>
      <c r="CJ86">
        <v>7.1760000000000002</v>
      </c>
      <c r="CK86">
        <v>6.7130000000000001</v>
      </c>
      <c r="CL86">
        <v>7.9530000000000003</v>
      </c>
      <c r="CM86">
        <v>6.46</v>
      </c>
      <c r="CN86">
        <v>7.0069999999999997</v>
      </c>
      <c r="CO86">
        <v>7.0229999999999997</v>
      </c>
      <c r="CP86">
        <v>-1.71</v>
      </c>
      <c r="CQ86">
        <v>1.1220000000000001</v>
      </c>
      <c r="CR86">
        <v>6.6559999999999997</v>
      </c>
      <c r="CS86">
        <v>6.2439999999999998</v>
      </c>
      <c r="CT86">
        <v>1.2969999999999999</v>
      </c>
      <c r="CU86">
        <v>7.351</v>
      </c>
      <c r="CV86">
        <v>-2.7930000000000001</v>
      </c>
      <c r="CW86">
        <v>7.0209999999999999</v>
      </c>
      <c r="CX86">
        <v>7.2649999999999997</v>
      </c>
      <c r="CY86">
        <v>5.0519999999999996</v>
      </c>
      <c r="CZ86">
        <v>7.7539999999999996</v>
      </c>
      <c r="DA86">
        <v>6.1559999999999997</v>
      </c>
      <c r="DB86">
        <v>6.1449999999999996</v>
      </c>
      <c r="DC86">
        <v>5.2590000000000003</v>
      </c>
      <c r="DD86">
        <v>6.5449999999999999</v>
      </c>
      <c r="DE86">
        <v>-1.9079999999999999</v>
      </c>
      <c r="DF86">
        <v>6.1369999999999996</v>
      </c>
      <c r="DG86">
        <v>7.13</v>
      </c>
      <c r="DH86">
        <v>5.7939999999999996</v>
      </c>
      <c r="DI86">
        <v>3.9340000000000002</v>
      </c>
      <c r="DJ86">
        <v>2.726</v>
      </c>
      <c r="DK86">
        <v>7.3760000000000003</v>
      </c>
      <c r="DL86">
        <v>5.7649999999999997</v>
      </c>
      <c r="DM86">
        <v>6.0049999999999999</v>
      </c>
      <c r="DN86">
        <v>7.6740000000000004</v>
      </c>
      <c r="DO86">
        <v>6.1</v>
      </c>
      <c r="DP86">
        <v>7.43</v>
      </c>
      <c r="DQ86">
        <v>-1.57</v>
      </c>
      <c r="DR86">
        <v>7.7050000000000001</v>
      </c>
      <c r="DS86">
        <v>5.7590000000000003</v>
      </c>
      <c r="DT86">
        <v>7.46</v>
      </c>
      <c r="DU86">
        <v>7.907</v>
      </c>
      <c r="DV86">
        <v>5.9279999999999999</v>
      </c>
      <c r="DW86">
        <v>5.8140000000000001</v>
      </c>
      <c r="DX86">
        <v>3.5150000000000001</v>
      </c>
      <c r="DY86">
        <v>6.8540000000000001</v>
      </c>
      <c r="DZ86">
        <v>5.9770000000000003</v>
      </c>
      <c r="EA86">
        <v>6.6669999999999998</v>
      </c>
      <c r="EB86">
        <v>6.8579999999999997</v>
      </c>
      <c r="EC86">
        <v>6.7370000000000001</v>
      </c>
      <c r="ED86">
        <v>4.8970000000000002</v>
      </c>
      <c r="EE86">
        <v>6.7279999999999998</v>
      </c>
      <c r="EF86">
        <v>6.4989999999999997</v>
      </c>
      <c r="EG86">
        <v>2.2559999999999998</v>
      </c>
      <c r="EH86">
        <v>7.9779999999999998</v>
      </c>
      <c r="EI86">
        <v>4.0960000000000001</v>
      </c>
      <c r="EJ86">
        <v>1.546</v>
      </c>
      <c r="EK86">
        <v>7.7149999999999999</v>
      </c>
      <c r="EL86">
        <v>0.26700000000000002</v>
      </c>
      <c r="EM86">
        <v>7.798</v>
      </c>
      <c r="EN86">
        <v>6.28</v>
      </c>
      <c r="EO86">
        <v>8.0229999999999997</v>
      </c>
      <c r="EP86">
        <v>2.46</v>
      </c>
      <c r="EQ86">
        <v>-0.877</v>
      </c>
      <c r="ER86">
        <v>7.1349999999999998</v>
      </c>
      <c r="ES86">
        <v>6.5590000000000002</v>
      </c>
      <c r="ET86">
        <v>6.8879999999999999</v>
      </c>
      <c r="EU86">
        <v>6.6369999999999996</v>
      </c>
      <c r="EV86">
        <v>3.33</v>
      </c>
      <c r="EW86">
        <v>6.58</v>
      </c>
      <c r="EX86">
        <v>6.798</v>
      </c>
      <c r="EY86">
        <v>4.3490000000000002</v>
      </c>
      <c r="EZ86">
        <v>5.6660000000000004</v>
      </c>
      <c r="FA86">
        <v>7.4889999999999999</v>
      </c>
      <c r="FB86">
        <v>7.1840000000000002</v>
      </c>
      <c r="FC86">
        <v>7.569</v>
      </c>
      <c r="FD86">
        <v>6.6669999999999998</v>
      </c>
      <c r="FE86">
        <v>4.9930000000000003</v>
      </c>
      <c r="FF86">
        <v>4.6929999999999996</v>
      </c>
      <c r="FG86">
        <v>3.2029999999999998</v>
      </c>
      <c r="FH86">
        <v>2.6059999999999999</v>
      </c>
      <c r="FI86">
        <v>6.6879999999999997</v>
      </c>
      <c r="FJ86">
        <v>5.9950000000000001</v>
      </c>
      <c r="FK86">
        <v>-0.1</v>
      </c>
      <c r="FL86">
        <v>6.3540000000000001</v>
      </c>
      <c r="FM86">
        <v>6.2919999999999998</v>
      </c>
      <c r="FN86">
        <v>6.4050000000000002</v>
      </c>
      <c r="FO86">
        <v>6.9260000000000002</v>
      </c>
      <c r="FP86">
        <v>5.4630000000000001</v>
      </c>
      <c r="FQ86">
        <v>4.2110000000000003</v>
      </c>
      <c r="FR86">
        <v>6.7039999999999997</v>
      </c>
      <c r="FS86">
        <v>2.7480000000000002</v>
      </c>
      <c r="FT86">
        <v>7.3460000000000001</v>
      </c>
      <c r="FU86">
        <v>6.4779999999999998</v>
      </c>
      <c r="FV86">
        <v>6.6040000000000001</v>
      </c>
      <c r="FW86">
        <v>6.8810000000000002</v>
      </c>
      <c r="FX86">
        <v>-0.875</v>
      </c>
      <c r="FY86">
        <v>7.1980000000000004</v>
      </c>
      <c r="FZ86">
        <v>1.0660000000000001</v>
      </c>
      <c r="GA86">
        <v>5.1999999999999998E-2</v>
      </c>
      <c r="GB86">
        <v>2.1339999999999999</v>
      </c>
      <c r="GC86">
        <v>7.4660000000000002</v>
      </c>
      <c r="GD86">
        <v>3.47</v>
      </c>
      <c r="GE86">
        <v>4.9930000000000003</v>
      </c>
      <c r="GF86">
        <v>6.516</v>
      </c>
      <c r="GG86">
        <v>4.7039999999999997</v>
      </c>
      <c r="GH86">
        <v>5.9859999999999998</v>
      </c>
      <c r="GI86">
        <v>8.2750000000000004</v>
      </c>
      <c r="GJ86">
        <v>7.2249999999999996</v>
      </c>
      <c r="GK86">
        <v>6.3810000000000002</v>
      </c>
      <c r="GL86">
        <v>1.5940000000000001</v>
      </c>
      <c r="GM86">
        <v>4.585</v>
      </c>
      <c r="GN86">
        <v>7.6379999999999999</v>
      </c>
      <c r="GO86">
        <v>5.41</v>
      </c>
      <c r="GP86">
        <v>6.218</v>
      </c>
      <c r="GQ86">
        <v>4.3120000000000003</v>
      </c>
      <c r="GR86">
        <v>1.41</v>
      </c>
      <c r="GS86">
        <v>6.556</v>
      </c>
      <c r="GT86">
        <v>6.742</v>
      </c>
      <c r="GU86">
        <v>-1.173</v>
      </c>
      <c r="GV86">
        <v>8.2279999999999998</v>
      </c>
      <c r="GW86">
        <v>7.6959999999999997</v>
      </c>
      <c r="GX86">
        <v>7.2430000000000003</v>
      </c>
      <c r="GY86">
        <v>6.6660000000000004</v>
      </c>
      <c r="GZ86">
        <v>6.7469999999999999</v>
      </c>
      <c r="HA86">
        <v>4.79</v>
      </c>
      <c r="HB86">
        <v>0.93100000000000005</v>
      </c>
      <c r="HC86">
        <v>-0.42799999999999999</v>
      </c>
      <c r="HD86">
        <v>6.133</v>
      </c>
      <c r="HE86">
        <v>7.33</v>
      </c>
      <c r="HF86">
        <v>0.77700000000000002</v>
      </c>
      <c r="HG86">
        <v>6.72</v>
      </c>
      <c r="HH86">
        <v>3.18</v>
      </c>
      <c r="HI86">
        <v>4.6379999999999999</v>
      </c>
      <c r="HJ86">
        <v>5.2119999999999997</v>
      </c>
      <c r="HK86">
        <v>7.3659999999999997</v>
      </c>
      <c r="HL86">
        <v>7.6440000000000001</v>
      </c>
      <c r="HM86">
        <v>0.433</v>
      </c>
      <c r="HN86">
        <v>5.992</v>
      </c>
      <c r="HO86">
        <v>0.88400000000000001</v>
      </c>
      <c r="HP86">
        <v>6.92</v>
      </c>
      <c r="HQ86">
        <v>6.0839999999999996</v>
      </c>
      <c r="HR86">
        <v>1.2390000000000001</v>
      </c>
      <c r="HS86">
        <v>-0.106</v>
      </c>
      <c r="HT86">
        <v>4.3040000000000003</v>
      </c>
      <c r="HU86">
        <v>5.6239999999999997</v>
      </c>
      <c r="HV86">
        <v>4.7380000000000004</v>
      </c>
      <c r="HW86">
        <v>6.7859999999999996</v>
      </c>
      <c r="HX86">
        <v>6.4009999999999998</v>
      </c>
      <c r="HY86">
        <v>7.6619999999999999</v>
      </c>
      <c r="HZ86">
        <v>7.0979999999999999</v>
      </c>
      <c r="IA86">
        <v>6.5750000000000002</v>
      </c>
      <c r="IB86">
        <v>6.0309999999999997</v>
      </c>
      <c r="IC86">
        <v>5.0179999999999998</v>
      </c>
      <c r="ID86">
        <v>2.64</v>
      </c>
      <c r="IE86">
        <v>6.3</v>
      </c>
      <c r="IF86">
        <v>8.1280000000000001</v>
      </c>
      <c r="IG86">
        <v>7.3239999999999998</v>
      </c>
      <c r="IH86">
        <v>3.9220000000000002</v>
      </c>
      <c r="II86">
        <v>7.0890000000000004</v>
      </c>
      <c r="IJ86">
        <v>5.8879999999999999</v>
      </c>
      <c r="IK86">
        <v>6.1820000000000004</v>
      </c>
      <c r="IL86">
        <v>8.4039999999999999</v>
      </c>
      <c r="IM86">
        <v>6.56</v>
      </c>
      <c r="IN86">
        <v>6.6449999999999996</v>
      </c>
      <c r="IO86">
        <v>6.5469999999999997</v>
      </c>
      <c r="IP86">
        <v>6.5549999999999997</v>
      </c>
      <c r="IQ86">
        <v>-2.7E-2</v>
      </c>
      <c r="IR86">
        <v>4.9720000000000004</v>
      </c>
      <c r="IS86">
        <v>6.516</v>
      </c>
      <c r="IT86">
        <v>7.03</v>
      </c>
      <c r="IU86">
        <v>6.7409999999999997</v>
      </c>
      <c r="IV86">
        <v>5.6669999999999998</v>
      </c>
      <c r="IW86">
        <v>2.4980000000000002</v>
      </c>
      <c r="IX86">
        <v>6.2830000000000004</v>
      </c>
      <c r="IY86">
        <v>6.2990000000000004</v>
      </c>
      <c r="IZ86">
        <v>5.7009999999999996</v>
      </c>
      <c r="JA86">
        <v>6.9790000000000001</v>
      </c>
      <c r="JB86">
        <v>5.8979999999999997</v>
      </c>
      <c r="JC86">
        <v>6.758</v>
      </c>
      <c r="JD86">
        <v>6.0060000000000002</v>
      </c>
      <c r="JE86">
        <v>3.0230000000000001</v>
      </c>
      <c r="JF86">
        <v>6.5289999999999999</v>
      </c>
      <c r="JG86">
        <v>7.9969999999999999</v>
      </c>
      <c r="JH86">
        <v>5.6859999999999999</v>
      </c>
      <c r="JI86">
        <v>-0.28000000000000003</v>
      </c>
      <c r="JJ86">
        <v>6.1989999999999998</v>
      </c>
      <c r="JK86">
        <v>0.78</v>
      </c>
      <c r="JL86">
        <v>6.0890000000000004</v>
      </c>
      <c r="JM86">
        <v>7.6420000000000003</v>
      </c>
      <c r="JN86">
        <v>6.2690000000000001</v>
      </c>
      <c r="JO86">
        <v>6.6029999999999998</v>
      </c>
      <c r="JP86">
        <v>1.67</v>
      </c>
      <c r="JQ86">
        <v>6.59</v>
      </c>
      <c r="JR86">
        <v>6.3010000000000002</v>
      </c>
      <c r="JS86">
        <v>7.2809999999999997</v>
      </c>
      <c r="JT86">
        <v>5.8380000000000001</v>
      </c>
      <c r="JU86">
        <v>6.024</v>
      </c>
      <c r="JV86">
        <v>5.8810000000000002</v>
      </c>
      <c r="JW86">
        <v>8.1999999999999993</v>
      </c>
      <c r="JX86">
        <v>6.3840000000000003</v>
      </c>
      <c r="JY86">
        <v>1.0580000000000001</v>
      </c>
      <c r="JZ86">
        <v>0.91300000000000003</v>
      </c>
      <c r="KA86">
        <v>5.2270000000000003</v>
      </c>
      <c r="KB86">
        <v>5.6760000000000002</v>
      </c>
      <c r="KC86">
        <v>6.4</v>
      </c>
      <c r="KD86">
        <v>6.2030000000000003</v>
      </c>
      <c r="KE86">
        <v>1.526</v>
      </c>
      <c r="KF86">
        <v>-0.442</v>
      </c>
      <c r="KG86">
        <v>7.4470000000000001</v>
      </c>
      <c r="KH86">
        <v>8.6059999999999999</v>
      </c>
      <c r="KI86">
        <v>6.859</v>
      </c>
      <c r="KJ86">
        <v>5.9089999999999998</v>
      </c>
      <c r="KK86">
        <v>6.798</v>
      </c>
      <c r="KL86">
        <v>2.8740000000000001</v>
      </c>
      <c r="KM86">
        <v>1.86</v>
      </c>
      <c r="KN86">
        <v>6.4180000000000001</v>
      </c>
      <c r="KO86">
        <v>5.4630000000000001</v>
      </c>
      <c r="KP86">
        <v>3.1760000000000002</v>
      </c>
      <c r="KQ86">
        <v>0.214</v>
      </c>
      <c r="KR86">
        <v>0.36799999999999999</v>
      </c>
    </row>
    <row r="87" spans="1:304" x14ac:dyDescent="0.25">
      <c r="A87">
        <v>2020</v>
      </c>
      <c r="B87">
        <v>12</v>
      </c>
      <c r="C87">
        <v>-5.22</v>
      </c>
      <c r="D87">
        <v>3.7440000000000002</v>
      </c>
      <c r="E87">
        <v>3.823</v>
      </c>
      <c r="F87">
        <v>3.379</v>
      </c>
      <c r="G87">
        <v>2.7839999999999998</v>
      </c>
      <c r="H87">
        <v>3.1110000000000002</v>
      </c>
      <c r="I87">
        <v>-3.9849999999999999</v>
      </c>
      <c r="J87">
        <v>-3.698</v>
      </c>
      <c r="K87">
        <v>2.2629999999999999</v>
      </c>
      <c r="L87">
        <v>2.9279999999999999</v>
      </c>
      <c r="M87">
        <v>2.048</v>
      </c>
      <c r="N87">
        <v>2.9119999999999999</v>
      </c>
      <c r="O87">
        <v>-1.0129999999999999</v>
      </c>
      <c r="P87">
        <v>3.9089999999999998</v>
      </c>
      <c r="Q87">
        <v>-2.044</v>
      </c>
      <c r="R87">
        <v>3.048</v>
      </c>
      <c r="S87">
        <v>0.68700000000000006</v>
      </c>
      <c r="T87">
        <v>4.4470000000000001</v>
      </c>
      <c r="U87">
        <v>1.069</v>
      </c>
      <c r="V87">
        <v>2.5840000000000001</v>
      </c>
      <c r="W87">
        <v>3.6419999999999999</v>
      </c>
      <c r="X87">
        <v>3.609</v>
      </c>
      <c r="Y87">
        <v>4.423</v>
      </c>
      <c r="Z87">
        <v>-1.022</v>
      </c>
      <c r="AA87">
        <v>4.3840000000000003</v>
      </c>
      <c r="AB87">
        <v>3.9929999999999999</v>
      </c>
      <c r="AC87">
        <v>1.506</v>
      </c>
      <c r="AD87">
        <v>2.8690000000000002</v>
      </c>
      <c r="AE87">
        <v>3.7959999999999998</v>
      </c>
      <c r="AF87">
        <v>2.3199999999999998</v>
      </c>
      <c r="AG87">
        <v>0.88800000000000001</v>
      </c>
      <c r="AH87">
        <v>-1.7350000000000001</v>
      </c>
      <c r="AI87">
        <v>0.151</v>
      </c>
      <c r="AJ87">
        <v>2.387</v>
      </c>
      <c r="AK87">
        <v>2.9460000000000002</v>
      </c>
      <c r="AL87">
        <v>3.2309999999999999</v>
      </c>
      <c r="AM87">
        <v>3.2530000000000001</v>
      </c>
      <c r="AN87">
        <v>3.9649999999999999</v>
      </c>
      <c r="AO87">
        <v>3.1869999999999998</v>
      </c>
      <c r="AP87">
        <v>1.8640000000000001</v>
      </c>
      <c r="AQ87">
        <v>4.2670000000000003</v>
      </c>
      <c r="AR87">
        <v>2.7509999999999999</v>
      </c>
      <c r="AS87">
        <v>5.3680000000000003</v>
      </c>
      <c r="AT87">
        <v>1.266</v>
      </c>
      <c r="AU87">
        <v>1.79</v>
      </c>
      <c r="AV87">
        <v>2.6949999999999998</v>
      </c>
      <c r="AW87">
        <v>3.2010000000000001</v>
      </c>
      <c r="AX87">
        <v>3.4220000000000002</v>
      </c>
      <c r="AY87">
        <v>2.4609999999999999</v>
      </c>
      <c r="AZ87">
        <v>-1.738</v>
      </c>
      <c r="BA87">
        <v>3.1819999999999999</v>
      </c>
      <c r="BB87">
        <v>-2.371</v>
      </c>
      <c r="BC87">
        <v>0.59499999999999997</v>
      </c>
      <c r="BD87">
        <v>2.601</v>
      </c>
      <c r="BE87">
        <v>3.5350000000000001</v>
      </c>
      <c r="BF87">
        <v>3.4510000000000001</v>
      </c>
      <c r="BG87">
        <v>-2.403</v>
      </c>
      <c r="BH87">
        <v>-5.5730000000000004</v>
      </c>
      <c r="BI87">
        <v>2.5169999999999999</v>
      </c>
      <c r="BJ87">
        <v>4.2069999999999999</v>
      </c>
      <c r="BK87">
        <v>3.4750000000000001</v>
      </c>
      <c r="BL87">
        <v>3.39</v>
      </c>
      <c r="BM87">
        <v>1.248</v>
      </c>
      <c r="BN87">
        <v>2.944</v>
      </c>
      <c r="BO87">
        <v>2.7370000000000001</v>
      </c>
      <c r="BP87">
        <v>4.1630000000000003</v>
      </c>
      <c r="BQ87">
        <v>-0.84699999999999998</v>
      </c>
      <c r="BR87">
        <v>3.738</v>
      </c>
      <c r="BS87">
        <v>3.76</v>
      </c>
      <c r="BT87">
        <v>-1.7350000000000001</v>
      </c>
      <c r="BU87">
        <v>-2.472</v>
      </c>
      <c r="BV87">
        <v>1.7390000000000001</v>
      </c>
      <c r="BW87">
        <v>4.1529999999999996</v>
      </c>
      <c r="BX87">
        <v>-3.9209999999999998</v>
      </c>
      <c r="BY87">
        <v>4.0209999999999999</v>
      </c>
      <c r="BZ87">
        <v>2.9039999999999999</v>
      </c>
      <c r="CA87">
        <v>3.9489999999999998</v>
      </c>
      <c r="CB87">
        <v>1.222</v>
      </c>
      <c r="CC87">
        <v>3.1629999999999998</v>
      </c>
      <c r="CD87">
        <v>3.7080000000000002</v>
      </c>
      <c r="CE87">
        <v>1.8919999999999999</v>
      </c>
      <c r="CF87">
        <v>3.0179999999999998</v>
      </c>
      <c r="CG87">
        <v>3.0670000000000002</v>
      </c>
      <c r="CH87">
        <v>1.5840000000000001</v>
      </c>
      <c r="CI87">
        <v>1.9279999999999999</v>
      </c>
      <c r="CJ87">
        <v>3.6669999999999998</v>
      </c>
      <c r="CK87">
        <v>3.444</v>
      </c>
      <c r="CL87">
        <v>4.3760000000000003</v>
      </c>
      <c r="CM87">
        <v>3.105</v>
      </c>
      <c r="CN87">
        <v>3.681</v>
      </c>
      <c r="CO87">
        <v>3.7250000000000001</v>
      </c>
      <c r="CP87">
        <v>-4.806</v>
      </c>
      <c r="CQ87">
        <v>-1.4259999999999999</v>
      </c>
      <c r="CR87">
        <v>3.7639999999999998</v>
      </c>
      <c r="CS87">
        <v>2.9390000000000001</v>
      </c>
      <c r="CT87">
        <v>-1.627</v>
      </c>
      <c r="CU87">
        <v>4.18</v>
      </c>
      <c r="CV87">
        <v>-6.7169999999999996</v>
      </c>
      <c r="CW87">
        <v>3.9950000000000001</v>
      </c>
      <c r="CX87">
        <v>4.2640000000000002</v>
      </c>
      <c r="CY87">
        <v>2.0939999999999999</v>
      </c>
      <c r="CZ87">
        <v>4.5389999999999997</v>
      </c>
      <c r="DA87">
        <v>3.2480000000000002</v>
      </c>
      <c r="DB87">
        <v>3.278</v>
      </c>
      <c r="DC87">
        <v>2.5230000000000001</v>
      </c>
      <c r="DD87">
        <v>3.2149999999999999</v>
      </c>
      <c r="DE87">
        <v>-6.5529999999999999</v>
      </c>
      <c r="DF87">
        <v>3.0019999999999998</v>
      </c>
      <c r="DG87">
        <v>3.8050000000000002</v>
      </c>
      <c r="DH87">
        <v>3.1110000000000002</v>
      </c>
      <c r="DI87">
        <v>1.19</v>
      </c>
      <c r="DJ87">
        <v>0.69699999999999995</v>
      </c>
      <c r="DK87">
        <v>4.2610000000000001</v>
      </c>
      <c r="DL87">
        <v>2.7890000000000001</v>
      </c>
      <c r="DM87">
        <v>2.9830000000000001</v>
      </c>
      <c r="DN87">
        <v>4.0410000000000004</v>
      </c>
      <c r="DO87">
        <v>3.1110000000000002</v>
      </c>
      <c r="DP87">
        <v>3.968</v>
      </c>
      <c r="DQ87">
        <v>-6.657</v>
      </c>
      <c r="DR87">
        <v>4.1740000000000004</v>
      </c>
      <c r="DS87">
        <v>2.8860000000000001</v>
      </c>
      <c r="DT87">
        <v>3.92</v>
      </c>
      <c r="DU87">
        <v>4.3840000000000003</v>
      </c>
      <c r="DV87">
        <v>2.7559999999999998</v>
      </c>
      <c r="DW87">
        <v>2.74</v>
      </c>
      <c r="DX87">
        <v>0.70799999999999996</v>
      </c>
      <c r="DY87">
        <v>3.4980000000000002</v>
      </c>
      <c r="DZ87">
        <v>2.7869999999999999</v>
      </c>
      <c r="EA87">
        <v>3.798</v>
      </c>
      <c r="EB87">
        <v>3.7</v>
      </c>
      <c r="EC87">
        <v>3.4060000000000001</v>
      </c>
      <c r="ED87">
        <v>1.9430000000000001</v>
      </c>
      <c r="EE87">
        <v>3.512</v>
      </c>
      <c r="EF87">
        <v>3.125</v>
      </c>
      <c r="EG87">
        <v>0.26700000000000002</v>
      </c>
      <c r="EH87">
        <v>4.3899999999999997</v>
      </c>
      <c r="EI87">
        <v>1.181</v>
      </c>
      <c r="EJ87">
        <v>-0.93100000000000005</v>
      </c>
      <c r="EK87">
        <v>4.1619999999999999</v>
      </c>
      <c r="EL87">
        <v>-1.786</v>
      </c>
      <c r="EM87">
        <v>4.258</v>
      </c>
      <c r="EN87">
        <v>2.9849999999999999</v>
      </c>
      <c r="EO87">
        <v>4.4749999999999996</v>
      </c>
      <c r="EP87">
        <v>-0.22700000000000001</v>
      </c>
      <c r="EQ87">
        <v>-2.9529999999999998</v>
      </c>
      <c r="ER87">
        <v>3.8439999999999999</v>
      </c>
      <c r="ES87">
        <v>3.2629999999999999</v>
      </c>
      <c r="ET87">
        <v>3.8839999999999999</v>
      </c>
      <c r="EU87">
        <v>3.319</v>
      </c>
      <c r="EV87">
        <v>0.45300000000000001</v>
      </c>
      <c r="EW87">
        <v>3.2839999999999998</v>
      </c>
      <c r="EX87">
        <v>3.53</v>
      </c>
      <c r="EY87">
        <v>1.7190000000000001</v>
      </c>
      <c r="EZ87">
        <v>3.0350000000000001</v>
      </c>
      <c r="FA87">
        <v>3.9180000000000001</v>
      </c>
      <c r="FB87">
        <v>3.9470000000000001</v>
      </c>
      <c r="FC87">
        <v>4.3550000000000004</v>
      </c>
      <c r="FD87">
        <v>3.8140000000000001</v>
      </c>
      <c r="FE87">
        <v>1.9079999999999999</v>
      </c>
      <c r="FF87">
        <v>1.9179999999999999</v>
      </c>
      <c r="FG87">
        <v>1.0740000000000001</v>
      </c>
      <c r="FH87">
        <v>0.67700000000000005</v>
      </c>
      <c r="FI87">
        <v>3.53</v>
      </c>
      <c r="FJ87">
        <v>3.4380000000000002</v>
      </c>
      <c r="FK87">
        <v>-2.36</v>
      </c>
      <c r="FL87">
        <v>3.1480000000000001</v>
      </c>
      <c r="FM87">
        <v>3.508</v>
      </c>
      <c r="FN87">
        <v>3.7770000000000001</v>
      </c>
      <c r="FO87">
        <v>4.3380000000000001</v>
      </c>
      <c r="FP87">
        <v>2.1800000000000002</v>
      </c>
      <c r="FQ87">
        <v>1.256</v>
      </c>
      <c r="FR87">
        <v>3.6360000000000001</v>
      </c>
      <c r="FS87">
        <v>1.2999999999999999E-2</v>
      </c>
      <c r="FT87">
        <v>3.89</v>
      </c>
      <c r="FU87">
        <v>3.2530000000000001</v>
      </c>
      <c r="FV87">
        <v>3.4049999999999998</v>
      </c>
      <c r="FW87">
        <v>4.2519999999999998</v>
      </c>
      <c r="FX87">
        <v>-4.3780000000000001</v>
      </c>
      <c r="FY87">
        <v>3.7410000000000001</v>
      </c>
      <c r="FZ87">
        <v>-1.0900000000000001</v>
      </c>
      <c r="GA87">
        <v>-4.3719999999999999</v>
      </c>
      <c r="GB87">
        <v>0.10299999999999999</v>
      </c>
      <c r="GC87">
        <v>4.3419999999999996</v>
      </c>
      <c r="GD87">
        <v>0.58199999999999996</v>
      </c>
      <c r="GE87">
        <v>2.3809999999999998</v>
      </c>
      <c r="GF87">
        <v>3.6659999999999999</v>
      </c>
      <c r="GG87">
        <v>1.905</v>
      </c>
      <c r="GH87">
        <v>3.242</v>
      </c>
      <c r="GI87">
        <v>5.0460000000000003</v>
      </c>
      <c r="GJ87">
        <v>3.7170000000000001</v>
      </c>
      <c r="GK87">
        <v>3.2890000000000001</v>
      </c>
      <c r="GL87">
        <v>-0.61699999999999999</v>
      </c>
      <c r="GM87">
        <v>1.756</v>
      </c>
      <c r="GN87">
        <v>4.2489999999999997</v>
      </c>
      <c r="GO87">
        <v>2.8149999999999999</v>
      </c>
      <c r="GP87">
        <v>3.0030000000000001</v>
      </c>
      <c r="GQ87">
        <v>1.421</v>
      </c>
      <c r="GR87">
        <v>-0.71499999999999997</v>
      </c>
      <c r="GS87">
        <v>3.6869999999999998</v>
      </c>
      <c r="GT87">
        <v>3.8530000000000002</v>
      </c>
      <c r="GU87">
        <v>-3.5790000000000002</v>
      </c>
      <c r="GV87">
        <v>4.6390000000000002</v>
      </c>
      <c r="GW87">
        <v>4.1520000000000001</v>
      </c>
      <c r="GX87">
        <v>3.7309999999999999</v>
      </c>
      <c r="GY87">
        <v>3.8250000000000002</v>
      </c>
      <c r="GZ87">
        <v>3.855</v>
      </c>
      <c r="HA87">
        <v>2.0139999999999998</v>
      </c>
      <c r="HB87">
        <v>-1.6559999999999999</v>
      </c>
      <c r="HC87">
        <v>-2.7759999999999998</v>
      </c>
      <c r="HD87">
        <v>3.347</v>
      </c>
      <c r="HE87">
        <v>3.927</v>
      </c>
      <c r="HF87">
        <v>-2.028</v>
      </c>
      <c r="HG87">
        <v>3.8290000000000002</v>
      </c>
      <c r="HH87">
        <v>1.2390000000000001</v>
      </c>
      <c r="HI87">
        <v>1.96</v>
      </c>
      <c r="HJ87">
        <v>2.5019999999999998</v>
      </c>
      <c r="HK87">
        <v>3.9169999999999998</v>
      </c>
      <c r="HL87">
        <v>4.2130000000000001</v>
      </c>
      <c r="HM87">
        <v>-1.4319999999999999</v>
      </c>
      <c r="HN87">
        <v>2.5750000000000002</v>
      </c>
      <c r="HO87">
        <v>-1.385</v>
      </c>
      <c r="HP87">
        <v>3.7450000000000001</v>
      </c>
      <c r="HQ87">
        <v>3.42</v>
      </c>
      <c r="HR87">
        <v>-1.5660000000000001</v>
      </c>
      <c r="HS87">
        <v>-2.294</v>
      </c>
      <c r="HT87">
        <v>1.423</v>
      </c>
      <c r="HU87">
        <v>2.367</v>
      </c>
      <c r="HV87">
        <v>2.3140000000000001</v>
      </c>
      <c r="HW87">
        <v>3.629</v>
      </c>
      <c r="HX87">
        <v>3.5859999999999999</v>
      </c>
      <c r="HY87">
        <v>4.6379999999999999</v>
      </c>
      <c r="HZ87">
        <v>3.66</v>
      </c>
      <c r="IA87">
        <v>3.4049999999999998</v>
      </c>
      <c r="IB87">
        <v>2.8639999999999999</v>
      </c>
      <c r="IC87">
        <v>2.464</v>
      </c>
      <c r="ID87">
        <v>0.85199999999999998</v>
      </c>
      <c r="IE87">
        <v>3.117</v>
      </c>
      <c r="IF87">
        <v>4.4420000000000002</v>
      </c>
      <c r="IG87">
        <v>3.8940000000000001</v>
      </c>
      <c r="IH87">
        <v>1.2509999999999999</v>
      </c>
      <c r="II87">
        <v>3.9</v>
      </c>
      <c r="IJ87">
        <v>2.468</v>
      </c>
      <c r="IK87">
        <v>2.823</v>
      </c>
      <c r="IL87">
        <v>5.0209999999999999</v>
      </c>
      <c r="IM87">
        <v>3.3530000000000002</v>
      </c>
      <c r="IN87">
        <v>-0.29462365591397877</v>
      </c>
      <c r="IO87">
        <v>3.7829999999999999</v>
      </c>
      <c r="IP87">
        <v>3.7</v>
      </c>
      <c r="IQ87">
        <v>-2.839</v>
      </c>
      <c r="IR87">
        <v>2.3730000000000002</v>
      </c>
      <c r="IS87">
        <v>3.395</v>
      </c>
      <c r="IT87">
        <v>3.746</v>
      </c>
      <c r="IU87">
        <v>3.3220000000000001</v>
      </c>
      <c r="IV87">
        <v>2.2839999999999998</v>
      </c>
      <c r="IW87">
        <v>0.375</v>
      </c>
      <c r="IX87">
        <v>3.46</v>
      </c>
      <c r="IY87">
        <v>3.476</v>
      </c>
      <c r="IZ87">
        <v>3.0609999999999999</v>
      </c>
      <c r="JA87">
        <v>3.6539999999999999</v>
      </c>
      <c r="JB87">
        <v>2.605</v>
      </c>
      <c r="JC87">
        <v>3.6269999999999998</v>
      </c>
      <c r="JD87">
        <v>3.3210000000000002</v>
      </c>
      <c r="JE87">
        <v>0.35799999999999998</v>
      </c>
      <c r="JF87">
        <v>3.4529999999999998</v>
      </c>
      <c r="JG87">
        <v>4.26</v>
      </c>
      <c r="JH87">
        <v>2.4329999999999998</v>
      </c>
      <c r="JI87">
        <v>-2.2250000000000001</v>
      </c>
      <c r="JJ87">
        <v>3.0489999999999999</v>
      </c>
      <c r="JK87">
        <v>-1.081</v>
      </c>
      <c r="JL87">
        <v>3.149</v>
      </c>
      <c r="JM87">
        <v>3.9220000000000002</v>
      </c>
      <c r="JN87">
        <v>2.9220000000000002</v>
      </c>
      <c r="JO87">
        <v>3.4319999999999999</v>
      </c>
      <c r="JP87">
        <v>-0.48099999999999998</v>
      </c>
      <c r="JQ87">
        <v>3.78</v>
      </c>
      <c r="JR87">
        <v>2.9449999999999998</v>
      </c>
      <c r="JS87">
        <v>4.1210000000000004</v>
      </c>
      <c r="JT87">
        <v>3.0190000000000001</v>
      </c>
      <c r="JU87">
        <v>2.73</v>
      </c>
      <c r="JV87">
        <v>2.645</v>
      </c>
      <c r="JW87">
        <v>4.7649999999999997</v>
      </c>
      <c r="JX87">
        <v>3.6179999999999999</v>
      </c>
      <c r="JY87">
        <v>-0.56699999999999995</v>
      </c>
      <c r="JZ87">
        <v>-1.897</v>
      </c>
      <c r="KA87">
        <v>2.3239999999999998</v>
      </c>
      <c r="KB87">
        <v>2.3759999999999999</v>
      </c>
      <c r="KC87">
        <v>3.25</v>
      </c>
      <c r="KD87">
        <v>2.9580000000000002</v>
      </c>
      <c r="KE87">
        <v>-1.028</v>
      </c>
      <c r="KF87">
        <v>-2.3660000000000001</v>
      </c>
      <c r="KG87">
        <v>3.996</v>
      </c>
      <c r="KH87">
        <v>4.9260000000000002</v>
      </c>
      <c r="KI87">
        <v>3.548</v>
      </c>
      <c r="KJ87">
        <v>2.9049999999999998</v>
      </c>
      <c r="KK87">
        <v>3.4889999999999999</v>
      </c>
      <c r="KL87">
        <v>0.89700000000000002</v>
      </c>
      <c r="KM87">
        <v>-1.0640000000000001</v>
      </c>
      <c r="KN87">
        <v>3.613</v>
      </c>
      <c r="KO87">
        <v>3.004</v>
      </c>
      <c r="KP87">
        <v>0.35199999999999998</v>
      </c>
      <c r="KQ87">
        <v>-2.7069999999999999</v>
      </c>
      <c r="KR87">
        <v>-2.9529999999999998</v>
      </c>
    </row>
    <row r="88" spans="1:304" x14ac:dyDescent="0.25">
      <c r="A88" s="310">
        <v>2021</v>
      </c>
      <c r="B88" s="310">
        <v>1</v>
      </c>
      <c r="C88" s="310">
        <v>-10.805779569892474</v>
      </c>
      <c r="D88" s="310">
        <v>-1.6518817204301077</v>
      </c>
      <c r="E88" s="310">
        <v>-1.2834677419354832</v>
      </c>
      <c r="F88" s="310">
        <v>-1.6538978494623646</v>
      </c>
      <c r="G88" s="310">
        <v>-1.598387096774194</v>
      </c>
      <c r="H88" s="310">
        <v>-2.9080645161290328</v>
      </c>
      <c r="I88" s="310">
        <v>-16.108602150537635</v>
      </c>
      <c r="J88" s="310">
        <v>-13.728091397849461</v>
      </c>
      <c r="K88" s="310">
        <v>-4.9092741935483835</v>
      </c>
      <c r="L88" s="310">
        <v>-2.8290322580645157</v>
      </c>
      <c r="M88" s="310">
        <v>-3.8760752688172038</v>
      </c>
      <c r="N88" s="310">
        <v>-3.7119623655913965</v>
      </c>
      <c r="O88" s="310">
        <v>-10.937768817204303</v>
      </c>
      <c r="P88" s="310">
        <v>-5.0940860215054007E-2</v>
      </c>
      <c r="Q88" s="310">
        <v>-12.921102150537639</v>
      </c>
      <c r="R88" s="310">
        <v>-1.822849462365592</v>
      </c>
      <c r="S88" s="310">
        <v>-6.6879032258064584</v>
      </c>
      <c r="T88" s="310">
        <v>0.30524193548387174</v>
      </c>
      <c r="U88" s="310">
        <v>-5.1139999999999999</v>
      </c>
      <c r="V88" s="310">
        <v>-2.2427419354838696</v>
      </c>
      <c r="W88" s="310">
        <v>-1.7220430107526898</v>
      </c>
      <c r="X88" s="310">
        <v>-0.75107526881720399</v>
      </c>
      <c r="Y88" s="310">
        <v>-4.0994623655914351E-2</v>
      </c>
      <c r="Z88" s="310">
        <v>-12.544086021505375</v>
      </c>
      <c r="AA88" s="310">
        <v>0.81975806451612809</v>
      </c>
      <c r="AB88" s="310">
        <v>2.6881720430111454E-3</v>
      </c>
      <c r="AC88" s="310">
        <v>-6.5096774193548388</v>
      </c>
      <c r="AD88" s="310">
        <v>-3.6153225806451603</v>
      </c>
      <c r="AE88" s="310">
        <v>-1.5271505376344086</v>
      </c>
      <c r="AF88" s="310">
        <v>-3.879569892473119</v>
      </c>
      <c r="AG88" s="310">
        <v>-7.7447580645161311</v>
      </c>
      <c r="AH88" s="310">
        <v>-14.117338709677448</v>
      </c>
      <c r="AI88" s="310">
        <v>-8.0064516129032341</v>
      </c>
      <c r="AJ88" s="310">
        <v>-2.5603494623655902</v>
      </c>
      <c r="AK88" s="310">
        <v>-1.3116935483870973</v>
      </c>
      <c r="AL88" s="310">
        <v>-2.5721774193548379</v>
      </c>
      <c r="AM88" s="310">
        <v>-2.7985215053763439</v>
      </c>
      <c r="AN88" s="310">
        <v>0.12701612903225751</v>
      </c>
      <c r="AO88" s="310">
        <v>-2.0447580645161301</v>
      </c>
      <c r="AP88" s="310">
        <v>-3.8567204301075262</v>
      </c>
      <c r="AQ88" s="310">
        <v>-9.865591397849495E-2</v>
      </c>
      <c r="AR88" s="310">
        <v>-2.6805107526881717</v>
      </c>
      <c r="AS88" s="310">
        <v>1.7807795698924753</v>
      </c>
      <c r="AT88" s="310">
        <v>-4.9471774193548423</v>
      </c>
      <c r="AU88" s="310">
        <v>-4.6499999999999986</v>
      </c>
      <c r="AV88" s="310">
        <v>-2.5000000000000004</v>
      </c>
      <c r="AW88" s="310">
        <v>-2.6198924731182807</v>
      </c>
      <c r="AX88" s="310">
        <v>-2.5987903225806455</v>
      </c>
      <c r="AY88" s="310">
        <v>-4.0662634408602196</v>
      </c>
      <c r="AZ88" s="310">
        <v>-12.106854838709687</v>
      </c>
      <c r="BA88" s="310">
        <v>-2.8509408602150543</v>
      </c>
      <c r="BB88" s="310">
        <v>-12.892876344086011</v>
      </c>
      <c r="BC88" s="310">
        <v>-5.8415322580645164</v>
      </c>
      <c r="BD88" s="310">
        <v>-2.0891129032258071</v>
      </c>
      <c r="BE88" s="310">
        <v>-2.2240591397849458</v>
      </c>
      <c r="BF88" s="310">
        <v>-1.7166666666666652</v>
      </c>
      <c r="BG88" s="310">
        <v>-14.268817204301083</v>
      </c>
      <c r="BH88" s="310">
        <v>-13.89879032258064</v>
      </c>
      <c r="BI88" s="310">
        <v>-3.2969086021505367</v>
      </c>
      <c r="BJ88" s="310">
        <v>-0.56384408602150526</v>
      </c>
      <c r="BK88" s="310">
        <v>-1.9692204301075256</v>
      </c>
      <c r="BL88" s="310">
        <v>-2.0510752688172058</v>
      </c>
      <c r="BM88" s="310">
        <v>-6.1057795698924728</v>
      </c>
      <c r="BN88" s="310">
        <v>-2.9592741935483882</v>
      </c>
      <c r="BO88" s="310">
        <v>-3.1986559139784938</v>
      </c>
      <c r="BP88" s="310">
        <v>-0.21733870967741881</v>
      </c>
      <c r="BQ88" s="310">
        <v>-12.215994623655927</v>
      </c>
      <c r="BR88" s="310">
        <v>-2.6313172043010749</v>
      </c>
      <c r="BS88" s="310">
        <v>-1.5758064516129033</v>
      </c>
      <c r="BT88" s="310">
        <v>-11.458064516129031</v>
      </c>
      <c r="BU88" s="310">
        <v>-12.757123655913968</v>
      </c>
      <c r="BV88" s="310">
        <v>-4.2418010752688158</v>
      </c>
      <c r="BW88" s="310">
        <v>0.40134408602150501</v>
      </c>
      <c r="BX88" s="310">
        <v>-14.043548387096775</v>
      </c>
      <c r="BY88" s="310">
        <v>0.18306451612903155</v>
      </c>
      <c r="BZ88" s="310">
        <v>-2.2673387096774191</v>
      </c>
      <c r="CA88" s="310">
        <v>-1.4387096774193546</v>
      </c>
      <c r="CB88" s="310">
        <v>-4.5013440860215068</v>
      </c>
      <c r="CC88" s="310">
        <v>-2.6493279569892487</v>
      </c>
      <c r="CD88" s="310">
        <v>-1.6103494623655916</v>
      </c>
      <c r="CE88" s="310">
        <v>-5.7091397849462373</v>
      </c>
      <c r="CF88" s="310">
        <v>-1.9276881720430101</v>
      </c>
      <c r="CG88" s="310">
        <v>-1.571370967741935</v>
      </c>
      <c r="CH88" s="310">
        <v>-4.5782258064516093</v>
      </c>
      <c r="CI88" s="310">
        <v>-6.2905913978494619</v>
      </c>
      <c r="CJ88" s="310">
        <v>-1.1545698924731176</v>
      </c>
      <c r="CK88" s="310">
        <v>-0.90645161290322429</v>
      </c>
      <c r="CL88" s="310">
        <v>0.89395161290322511</v>
      </c>
      <c r="CM88" s="310">
        <v>-1.4336021505376353</v>
      </c>
      <c r="CN88" s="310">
        <v>-0.36088709677419378</v>
      </c>
      <c r="CO88" s="310">
        <v>-0.37647849462365585</v>
      </c>
      <c r="CP88" s="310">
        <v>-16.196370967741942</v>
      </c>
      <c r="CQ88" s="310">
        <v>-13.501209677419361</v>
      </c>
      <c r="CR88" s="310">
        <v>-1.6044354838709667</v>
      </c>
      <c r="CS88" s="310">
        <v>-2.0986559139784968</v>
      </c>
      <c r="CT88" s="310">
        <v>-11.809408602150544</v>
      </c>
      <c r="CU88" s="310">
        <v>-0.18938172043010751</v>
      </c>
      <c r="CV88" s="310">
        <v>-14.923118279569852</v>
      </c>
      <c r="CW88" s="310">
        <v>-1.4233870967741942</v>
      </c>
      <c r="CX88" s="310">
        <v>-0.20752688172042968</v>
      </c>
      <c r="CY88" s="310">
        <v>-4.06545698924731</v>
      </c>
      <c r="CZ88" s="310">
        <v>0.19825268817204419</v>
      </c>
      <c r="DA88" s="310">
        <v>-3.1403225806451647</v>
      </c>
      <c r="DB88" s="310">
        <v>-2.7052419354838699</v>
      </c>
      <c r="DC88" s="310">
        <v>-4.0963709677419393</v>
      </c>
      <c r="DD88" s="310">
        <v>-1.5966397849462357</v>
      </c>
      <c r="DE88" s="310">
        <v>-14.039516129032252</v>
      </c>
      <c r="DF88" s="310">
        <v>-2.2557795698924723</v>
      </c>
      <c r="DG88" s="310">
        <v>-0.38158602150537646</v>
      </c>
      <c r="DH88" s="310">
        <v>-2.2775537634408587</v>
      </c>
      <c r="DI88" s="310">
        <v>-4.5844086021505364</v>
      </c>
      <c r="DJ88" s="310">
        <v>-9.2848118279569771</v>
      </c>
      <c r="DK88" s="310">
        <v>-0.16948924731182816</v>
      </c>
      <c r="DL88" s="310">
        <v>-3.370295698924727</v>
      </c>
      <c r="DM88" s="310">
        <v>-2.9311827956989278</v>
      </c>
      <c r="DN88" s="310">
        <v>-0.65040322580645138</v>
      </c>
      <c r="DO88" s="310">
        <v>-2.9245967741935472</v>
      </c>
      <c r="DP88" s="310">
        <v>-1.0708333333333342</v>
      </c>
      <c r="DQ88" s="310">
        <v>-15.308602150537638</v>
      </c>
      <c r="DR88" s="310">
        <v>0.52137096774193603</v>
      </c>
      <c r="DS88" s="310">
        <v>-3.1086021505376347</v>
      </c>
      <c r="DT88" s="310">
        <v>-0.43602150537634421</v>
      </c>
      <c r="DU88" s="310">
        <v>0.73575268817204265</v>
      </c>
      <c r="DV88" s="310">
        <v>-3.0829301075268831</v>
      </c>
      <c r="DW88" s="310">
        <v>-3.2443548387096746</v>
      </c>
      <c r="DX88" s="310">
        <v>-6.1580645161290342</v>
      </c>
      <c r="DY88" s="310">
        <v>-1.4198924731182787</v>
      </c>
      <c r="DZ88" s="310">
        <v>-1.4869623655913982</v>
      </c>
      <c r="EA88" s="310">
        <v>-1.4533602150537628</v>
      </c>
      <c r="EB88" s="310">
        <v>-2.0227150537634397</v>
      </c>
      <c r="EC88" s="310">
        <v>-1.9276881720430121</v>
      </c>
      <c r="ED88" s="310">
        <v>-3.7361559139784943</v>
      </c>
      <c r="EE88" s="310">
        <v>-1.4512096774193535</v>
      </c>
      <c r="EF88" s="310">
        <v>-1.3694892473118274</v>
      </c>
      <c r="EG88" s="310">
        <v>-9.1564516129032256</v>
      </c>
      <c r="EH88" s="310">
        <v>0.83373655913978439</v>
      </c>
      <c r="EI88" s="310">
        <v>-4.703225806451611</v>
      </c>
      <c r="EJ88" s="310">
        <v>-11.249193548387103</v>
      </c>
      <c r="EK88" s="310">
        <v>0.52943548387096906</v>
      </c>
      <c r="EL88" s="310">
        <v>-13.814784946236577</v>
      </c>
      <c r="EM88" s="310">
        <v>-1.2932795698924739</v>
      </c>
      <c r="EN88" s="310">
        <v>-2.3635752688172058</v>
      </c>
      <c r="EO88" s="310">
        <v>0.9157258064516135</v>
      </c>
      <c r="EP88" s="310">
        <v>-8.7552419354838733</v>
      </c>
      <c r="EQ88" s="310">
        <v>-13.576075268817183</v>
      </c>
      <c r="ER88" s="310">
        <v>-1.67231182795699</v>
      </c>
      <c r="ES88" s="310">
        <v>-1.1557795698924735</v>
      </c>
      <c r="ET88" s="310">
        <v>-1.8991935483870968</v>
      </c>
      <c r="EU88" s="310">
        <v>-2.2952956989247317</v>
      </c>
      <c r="EV88" s="310">
        <v>-7.7614247311827969</v>
      </c>
      <c r="EW88" s="310">
        <v>-2.1060483870967754</v>
      </c>
      <c r="EX88" s="310">
        <v>-2.4049731182795706</v>
      </c>
      <c r="EY88" s="310">
        <v>-5.1853494623655934</v>
      </c>
      <c r="EZ88" s="310">
        <v>-2.3685483870967747</v>
      </c>
      <c r="FA88" s="310">
        <v>-0.87728494623655895</v>
      </c>
      <c r="FB88" s="310">
        <v>-0.33319892473118318</v>
      </c>
      <c r="FC88" s="310">
        <v>0.11787634408602142</v>
      </c>
      <c r="FD88" s="310">
        <v>-1.4178763440860207</v>
      </c>
      <c r="FE88" s="310">
        <v>-3.806182795698922</v>
      </c>
      <c r="FF88" s="310">
        <v>-3.9045698924731211</v>
      </c>
      <c r="FG88" s="310">
        <v>-6.8663978494623628</v>
      </c>
      <c r="FH88" s="310">
        <v>-8.6200268817204346</v>
      </c>
      <c r="FI88" s="310">
        <v>-2.020833333333333</v>
      </c>
      <c r="FJ88" s="310">
        <v>-1.4577956989247298</v>
      </c>
      <c r="FK88" s="310">
        <v>-12.538978494623674</v>
      </c>
      <c r="FL88" s="310">
        <v>-1.1786000000000001</v>
      </c>
      <c r="FM88" s="310">
        <v>-2.0713709677419367</v>
      </c>
      <c r="FN88" s="310">
        <v>-1.9201612903225811</v>
      </c>
      <c r="FO88" s="310">
        <v>-0.8349462365591398</v>
      </c>
      <c r="FP88" s="310">
        <v>-2.7477150537634412</v>
      </c>
      <c r="FQ88" s="310">
        <v>-4.7313172043010789</v>
      </c>
      <c r="FR88" s="310">
        <v>-0.73467741935483855</v>
      </c>
      <c r="FS88" s="310">
        <v>-8.0950268817204307</v>
      </c>
      <c r="FT88" s="310">
        <v>-1.6212365591397842</v>
      </c>
      <c r="FU88" s="310">
        <v>-1.1290322580645158</v>
      </c>
      <c r="FV88" s="310">
        <v>-0.94825268817204311</v>
      </c>
      <c r="FW88" s="310">
        <v>-1.2181451612903225</v>
      </c>
      <c r="FX88" s="310">
        <v>-13.792069892473103</v>
      </c>
      <c r="FY88" s="310">
        <v>-1.1334677419354833</v>
      </c>
      <c r="FZ88" s="310">
        <v>-11.038172043010755</v>
      </c>
      <c r="GA88" s="310">
        <v>-11.694758064516137</v>
      </c>
      <c r="GB88" s="310">
        <v>-9.0626344086021575</v>
      </c>
      <c r="GC88" s="310">
        <v>-4.6236559139785374E-2</v>
      </c>
      <c r="GD88" s="310">
        <v>-6.6740591397849389</v>
      </c>
      <c r="GE88" s="310">
        <v>-3.5673387096774163</v>
      </c>
      <c r="GF88" s="310">
        <v>-1.6947580645161286</v>
      </c>
      <c r="GG88" s="310">
        <v>-4.0524193548387135</v>
      </c>
      <c r="GH88" s="310">
        <v>-2.1459677419354826</v>
      </c>
      <c r="GI88" s="310">
        <v>1.4470430107526884</v>
      </c>
      <c r="GJ88" s="310">
        <v>-8.9112903225806561E-2</v>
      </c>
      <c r="GK88" s="310">
        <v>-2.2391129032258084</v>
      </c>
      <c r="GL88" s="310">
        <v>-10.341397849462366</v>
      </c>
      <c r="GM88" s="310">
        <v>-3.8459677419354841</v>
      </c>
      <c r="GN88" s="310">
        <v>0.39368279569892473</v>
      </c>
      <c r="GO88" s="310">
        <v>-2.4258064516129036</v>
      </c>
      <c r="GP88" s="310">
        <v>-2.6946236559139782</v>
      </c>
      <c r="GQ88" s="310">
        <v>-4.3928763440860212</v>
      </c>
      <c r="GR88" s="310">
        <v>-11.714381720430104</v>
      </c>
      <c r="GS88" s="310">
        <v>-1.7073924731182795</v>
      </c>
      <c r="GT88" s="310">
        <v>-1.4693548387096771</v>
      </c>
      <c r="GU88" s="310">
        <v>-16.196774193548404</v>
      </c>
      <c r="GV88" s="310">
        <v>-0.87338709677419335</v>
      </c>
      <c r="GW88" s="310">
        <v>0.5123655913978491</v>
      </c>
      <c r="GX88" s="310">
        <v>-1.4790322580645157</v>
      </c>
      <c r="GY88" s="310">
        <v>-1.4728494623655903</v>
      </c>
      <c r="GZ88" s="310">
        <v>-1.4826612903225809</v>
      </c>
      <c r="HA88" s="310">
        <v>-4.2395161290322569</v>
      </c>
      <c r="HB88" s="310">
        <v>-10.813978494623647</v>
      </c>
      <c r="HC88" s="310">
        <v>-15.014650537634388</v>
      </c>
      <c r="HD88" s="310">
        <v>-2.5575268817204284</v>
      </c>
      <c r="HE88" s="310">
        <v>-2.2331989247311821</v>
      </c>
      <c r="HF88" s="310">
        <v>-13.179973118279577</v>
      </c>
      <c r="HG88" s="310">
        <v>-1.5189516129032257</v>
      </c>
      <c r="HH88" s="310">
        <v>-7.368145161290327</v>
      </c>
      <c r="HI88" s="310">
        <v>-5.1940860215053775</v>
      </c>
      <c r="HJ88" s="310">
        <v>-3.3749999999999982</v>
      </c>
      <c r="HK88" s="310">
        <v>9.7580645161290377E-2</v>
      </c>
      <c r="HL88" s="310">
        <v>0.44502688172042998</v>
      </c>
      <c r="HM88" s="310">
        <v>-13.036827956989248</v>
      </c>
      <c r="HN88" s="310">
        <v>-2.1485215053763436</v>
      </c>
      <c r="HO88" s="310">
        <v>-13.64086021505376</v>
      </c>
      <c r="HP88" s="310">
        <v>-1.3178763440860202</v>
      </c>
      <c r="HQ88" s="310">
        <v>-3.0827956989247305</v>
      </c>
      <c r="HR88" s="310">
        <v>-9.4334677419354875</v>
      </c>
      <c r="HS88" s="310">
        <v>-13.329973118279563</v>
      </c>
      <c r="HT88" s="310">
        <v>-4.6229838709677402</v>
      </c>
      <c r="HU88" s="310">
        <v>-2.3169354838709677</v>
      </c>
      <c r="HV88" s="310">
        <v>-4.1271505376344093</v>
      </c>
      <c r="HW88" s="310">
        <v>-1.8553763440860209</v>
      </c>
      <c r="HX88" s="310">
        <v>-1.8196236559139776</v>
      </c>
      <c r="HY88" s="310">
        <v>0.22782258064516125</v>
      </c>
      <c r="HZ88" s="310">
        <v>-2.3786290322580657</v>
      </c>
      <c r="IA88" s="310">
        <v>-2.3091397849462392</v>
      </c>
      <c r="IB88" s="310">
        <v>-2.6411290322580614</v>
      </c>
      <c r="IC88" s="310">
        <v>-3.0148999999999999</v>
      </c>
      <c r="ID88" s="310">
        <v>-7.902016129032261</v>
      </c>
      <c r="IE88" s="310">
        <v>-1.0944892473118286</v>
      </c>
      <c r="IF88" s="310">
        <v>-0.47836021505376303</v>
      </c>
      <c r="IG88" s="310">
        <v>8.9650537634408473E-2</v>
      </c>
      <c r="IH88" s="310">
        <v>-6.4975806451612863</v>
      </c>
      <c r="II88" s="310">
        <v>-0.29459999999999997</v>
      </c>
      <c r="IJ88" s="310">
        <v>-2.2467741935483865</v>
      </c>
      <c r="IK88" s="310">
        <v>-2.5137096774193544</v>
      </c>
      <c r="IL88" s="310">
        <v>1.2131720430107527</v>
      </c>
      <c r="IM88" s="310">
        <v>-2.0602150537634394</v>
      </c>
      <c r="IN88" s="310">
        <v>-1.5358870967741933</v>
      </c>
      <c r="IO88" s="310">
        <v>-1.3748655913978503</v>
      </c>
      <c r="IP88" s="310">
        <v>-1.6591397849462362</v>
      </c>
      <c r="IQ88" s="310">
        <v>-11.532661290322594</v>
      </c>
      <c r="IR88" s="310">
        <v>-3.4389784946236559</v>
      </c>
      <c r="IS88" s="310">
        <v>-2.3973118279569881</v>
      </c>
      <c r="IT88" s="310">
        <v>-1.9588709677419358</v>
      </c>
      <c r="IU88" s="310">
        <v>-1.3034946236559135</v>
      </c>
      <c r="IV88" s="310">
        <v>-2.5568548387096772</v>
      </c>
      <c r="IW88" s="310">
        <v>-3.8760752688172038</v>
      </c>
      <c r="IX88" s="310">
        <v>-1.9229838709677427</v>
      </c>
      <c r="IY88" s="310">
        <v>-1.9404569892473116</v>
      </c>
      <c r="IZ88" s="310">
        <v>-2.3610215053763417</v>
      </c>
      <c r="JA88" s="310">
        <v>-1.6384408602150535</v>
      </c>
      <c r="JB88" s="310">
        <v>-2.4157258064516101</v>
      </c>
      <c r="JC88" s="310">
        <v>-1.5880376344086022</v>
      </c>
      <c r="JD88" s="310">
        <v>-2.0904569892473122</v>
      </c>
      <c r="JE88" s="310">
        <v>-7.437096774193547</v>
      </c>
      <c r="JF88" s="310">
        <v>-1.8926075268817206</v>
      </c>
      <c r="JG88" s="310">
        <v>-6.2096774193548324E-2</v>
      </c>
      <c r="JH88" s="310">
        <v>-2.2482526881720428</v>
      </c>
      <c r="JI88" s="310">
        <v>-15.514516129032247</v>
      </c>
      <c r="JJ88" s="310">
        <v>-2.1088709677419359</v>
      </c>
      <c r="JK88" s="310">
        <v>-11.503360215053753</v>
      </c>
      <c r="JL88" s="310">
        <v>-2.797177419354838</v>
      </c>
      <c r="JM88" s="310">
        <v>0.35134408602150502</v>
      </c>
      <c r="JN88" s="310">
        <v>-2.1841397849462352</v>
      </c>
      <c r="JO88" s="310">
        <v>-1.9931451612903222</v>
      </c>
      <c r="JP88" s="310">
        <v>-10.31989247311828</v>
      </c>
      <c r="JQ88" s="310">
        <v>-1.2760752688172048</v>
      </c>
      <c r="JR88" s="310">
        <v>-1.8126344086021513</v>
      </c>
      <c r="JS88" s="310">
        <v>-0.46169354838709648</v>
      </c>
      <c r="JT88" s="310">
        <v>-2.9170698924731173</v>
      </c>
      <c r="JU88" s="310">
        <v>-1.577016129032258</v>
      </c>
      <c r="JV88" s="310">
        <v>-2.4579301075268831</v>
      </c>
      <c r="JW88" s="310">
        <v>0.99583333333333268</v>
      </c>
      <c r="JX88" s="310">
        <v>-2.8693548387096794</v>
      </c>
      <c r="JY88" s="310">
        <v>-11.571102150537628</v>
      </c>
      <c r="JZ88" s="310">
        <v>-12.004435483870974</v>
      </c>
      <c r="KA88" s="310">
        <v>-4.7059139784946256</v>
      </c>
      <c r="KB88" s="310">
        <v>-2.1024193548387116</v>
      </c>
      <c r="KC88" s="310">
        <v>-2.0708333333333329</v>
      </c>
      <c r="KD88" s="310">
        <v>-1.4775537634408593</v>
      </c>
      <c r="KE88" s="310">
        <v>-9.3455645161290359</v>
      </c>
      <c r="KF88" s="310">
        <v>-13.436693548387094</v>
      </c>
      <c r="KG88" s="310">
        <v>-2.1505376344086568E-3</v>
      </c>
      <c r="KH88" s="310">
        <v>0.3510752688172043</v>
      </c>
      <c r="KI88" s="310">
        <v>-1.6721774193548395</v>
      </c>
      <c r="KJ88" s="310">
        <v>-2.9857526881720386</v>
      </c>
      <c r="KK88" s="310">
        <v>-0.83306451612903176</v>
      </c>
      <c r="KL88" s="310">
        <v>-8.9693548387096715</v>
      </c>
      <c r="KM88" s="310">
        <v>-12.43427419354839</v>
      </c>
      <c r="KN88" s="310">
        <v>-1.6129032258064511</v>
      </c>
      <c r="KO88" s="310">
        <v>-1.5719086021505388</v>
      </c>
      <c r="KP88" s="310">
        <v>-7.9552419354838717</v>
      </c>
      <c r="KQ88" s="310">
        <v>-13.331854838709665</v>
      </c>
      <c r="KR88" s="310">
        <v>-12.663037634408614</v>
      </c>
    </row>
    <row r="89" spans="1:304" x14ac:dyDescent="0.25">
      <c r="A89" s="310">
        <v>2021</v>
      </c>
      <c r="B89" s="310">
        <v>2</v>
      </c>
      <c r="C89" s="310">
        <v>-9.0582466567607689</v>
      </c>
      <c r="D89" s="310">
        <v>-3.1604166666666575</v>
      </c>
      <c r="E89" s="310">
        <v>-2.6047619047619035</v>
      </c>
      <c r="F89" s="310">
        <v>-3.0760416666666646</v>
      </c>
      <c r="G89" s="310">
        <v>-2.7982142857142871</v>
      </c>
      <c r="H89" s="310">
        <v>-3.9934523809523848</v>
      </c>
      <c r="I89" s="310">
        <v>-10.628422619047619</v>
      </c>
      <c r="J89" s="310">
        <v>-9.7528273809523824</v>
      </c>
      <c r="K89" s="310">
        <v>-4.9805059523809527</v>
      </c>
      <c r="L89" s="310">
        <v>-3.8453869047619058</v>
      </c>
      <c r="M89" s="310">
        <v>-4.0760416666666668</v>
      </c>
      <c r="N89" s="310">
        <v>-3.7245535714285687</v>
      </c>
      <c r="O89" s="310">
        <v>-8.0028273809523753</v>
      </c>
      <c r="P89" s="310">
        <v>-0.95476190476190259</v>
      </c>
      <c r="Q89" s="310">
        <v>-10.844940476190462</v>
      </c>
      <c r="R89" s="310">
        <v>-3.0892857142857117</v>
      </c>
      <c r="S89" s="310">
        <v>-5.2040178571428637</v>
      </c>
      <c r="T89" s="310">
        <v>-0.57648809523809275</v>
      </c>
      <c r="U89" s="310">
        <v>-4.7119</v>
      </c>
      <c r="V89" s="310">
        <v>-3.3784226190476128</v>
      </c>
      <c r="W89" s="310">
        <v>-2.966071428571424</v>
      </c>
      <c r="X89" s="310">
        <v>-1.6575892857142895</v>
      </c>
      <c r="Y89" s="310">
        <v>-0.89107142857142818</v>
      </c>
      <c r="Z89" s="310">
        <v>-7.8111607142857178</v>
      </c>
      <c r="AA89" s="310">
        <v>-9.5535714285715057E-2</v>
      </c>
      <c r="AB89" s="310">
        <v>-1.2348214285714287</v>
      </c>
      <c r="AC89" s="310">
        <v>-6.0116071428571374</v>
      </c>
      <c r="AD89" s="310">
        <v>-3.8238095238095191</v>
      </c>
      <c r="AE89" s="310">
        <v>-2.7552083333333344</v>
      </c>
      <c r="AF89" s="310">
        <v>-4.6421130952380976</v>
      </c>
      <c r="AG89" s="310">
        <v>-5.6196428571428614</v>
      </c>
      <c r="AH89" s="310">
        <v>-9.6410714285714203</v>
      </c>
      <c r="AI89" s="310">
        <v>-5.8849702380952307</v>
      </c>
      <c r="AJ89" s="310">
        <v>-3.2001488095238089</v>
      </c>
      <c r="AK89" s="310">
        <v>-2.2020833333333325</v>
      </c>
      <c r="AL89" s="310">
        <v>-3.842410714285712</v>
      </c>
      <c r="AM89" s="310">
        <v>-3.8903273809523777</v>
      </c>
      <c r="AN89" s="310">
        <v>-0.81636904761904627</v>
      </c>
      <c r="AO89" s="310">
        <v>-3.3709821428571418</v>
      </c>
      <c r="AP89" s="310">
        <v>-4.2535714285714352</v>
      </c>
      <c r="AQ89" s="310">
        <v>-1.8745535714285746</v>
      </c>
      <c r="AR89" s="310">
        <v>-3.4818452380952336</v>
      </c>
      <c r="AS89" s="310">
        <v>0.46279761904761862</v>
      </c>
      <c r="AT89" s="310">
        <v>-4.6870535714285761</v>
      </c>
      <c r="AU89" s="310">
        <v>-5.1669642857142906</v>
      </c>
      <c r="AV89" s="310">
        <v>-3.7931547619047632</v>
      </c>
      <c r="AW89" s="310">
        <v>-3.585416666666672</v>
      </c>
      <c r="AX89" s="310">
        <v>-3.8894345238095247</v>
      </c>
      <c r="AY89" s="310">
        <v>-4.3327380952380947</v>
      </c>
      <c r="AZ89" s="310">
        <v>-8.5111607142857189</v>
      </c>
      <c r="BA89" s="310">
        <v>-3.6714285714285757</v>
      </c>
      <c r="BB89" s="310">
        <v>-7.4608630952380963</v>
      </c>
      <c r="BC89" s="310">
        <v>-5.4497023809523801</v>
      </c>
      <c r="BD89" s="310">
        <v>-3.14613095238095</v>
      </c>
      <c r="BE89" s="310">
        <v>-3.4291666666666742</v>
      </c>
      <c r="BF89" s="310">
        <v>-3.0342261904761947</v>
      </c>
      <c r="BG89" s="310">
        <v>-10.159523809523797</v>
      </c>
      <c r="BH89" s="310">
        <v>-10.812500000000004</v>
      </c>
      <c r="BI89" s="310">
        <v>-3.0309523809523751</v>
      </c>
      <c r="BJ89" s="310">
        <v>-1.8373511904761906</v>
      </c>
      <c r="BK89" s="310">
        <v>-2.8261904761904781</v>
      </c>
      <c r="BL89" s="310">
        <v>-3.4471726190476195</v>
      </c>
      <c r="BM89" s="310">
        <v>-6.3074404761904823</v>
      </c>
      <c r="BN89" s="310">
        <v>-3.9443452380952353</v>
      </c>
      <c r="BO89" s="310">
        <v>-3.7383928571428582</v>
      </c>
      <c r="BP89" s="310">
        <v>-1.7547619047619061</v>
      </c>
      <c r="BQ89" s="310">
        <v>-8.229166666666675</v>
      </c>
      <c r="BR89" s="310">
        <v>-3.6366071428571405</v>
      </c>
      <c r="BS89" s="310">
        <v>-2.8837797619047572</v>
      </c>
      <c r="BT89" s="310">
        <v>-12.055803571428569</v>
      </c>
      <c r="BU89" s="310">
        <v>-7.8561011904761937</v>
      </c>
      <c r="BV89" s="310">
        <v>-4.3744047619047652</v>
      </c>
      <c r="BW89" s="310">
        <v>-0.57782738095238328</v>
      </c>
      <c r="BX89" s="310">
        <v>-11.140327380952376</v>
      </c>
      <c r="BY89" s="310">
        <v>-1.1404761904761913</v>
      </c>
      <c r="BZ89" s="310">
        <v>-3.4111607142857103</v>
      </c>
      <c r="CA89" s="310">
        <v>-2.1226190476190494</v>
      </c>
      <c r="CB89" s="310">
        <v>-4.2098214285714297</v>
      </c>
      <c r="CC89" s="310">
        <v>-3.5028273809523749</v>
      </c>
      <c r="CD89" s="310">
        <v>-2.8424107142857102</v>
      </c>
      <c r="CE89" s="310">
        <v>-4.0690476190476179</v>
      </c>
      <c r="CF89" s="310">
        <v>-2.9141369047619103</v>
      </c>
      <c r="CG89" s="310">
        <v>-2.8693452380952338</v>
      </c>
      <c r="CH89" s="310">
        <v>-5.131696428571435</v>
      </c>
      <c r="CI89" s="310">
        <v>-4.5187500000000034</v>
      </c>
      <c r="CJ89" s="310">
        <v>-2.2249999999999961</v>
      </c>
      <c r="CK89" s="310">
        <v>-1.8126488095238134</v>
      </c>
      <c r="CL89" s="310">
        <v>-0.41398809523809443</v>
      </c>
      <c r="CM89" s="310">
        <v>-2.1019345238095246</v>
      </c>
      <c r="CN89" s="310">
        <v>-1.1605654761904733</v>
      </c>
      <c r="CO89" s="310">
        <v>-1.2961309523809537</v>
      </c>
      <c r="CP89" s="310">
        <v>-11.379761904761901</v>
      </c>
      <c r="CQ89" s="310">
        <v>-9.6677083333333407</v>
      </c>
      <c r="CR89" s="310">
        <v>-2.8311011904761934</v>
      </c>
      <c r="CS89" s="310">
        <v>-2.472172619047623</v>
      </c>
      <c r="CT89" s="310">
        <v>-11.340624999999992</v>
      </c>
      <c r="CU89" s="310">
        <v>-1.2297619047619019</v>
      </c>
      <c r="CV89" s="310">
        <v>-12.121875000000003</v>
      </c>
      <c r="CW89" s="310">
        <v>-2.2264880952380945</v>
      </c>
      <c r="CX89" s="310">
        <v>-1.2686011904761942</v>
      </c>
      <c r="CY89" s="310">
        <v>-4.8214285714285765</v>
      </c>
      <c r="CZ89" s="310">
        <v>-1.2605654761904763</v>
      </c>
      <c r="DA89" s="310">
        <v>-3.8650297619047627</v>
      </c>
      <c r="DB89" s="310">
        <v>-3.92217261904762</v>
      </c>
      <c r="DC89" s="310">
        <v>-4.3288690476190421</v>
      </c>
      <c r="DD89" s="310">
        <v>-2.8495535714285718</v>
      </c>
      <c r="DE89" s="310">
        <v>-10.218601190476189</v>
      </c>
      <c r="DF89" s="310">
        <v>-3.5211309523809486</v>
      </c>
      <c r="DG89" s="310">
        <v>-1.3601190476190412</v>
      </c>
      <c r="DH89" s="310">
        <v>-3.6874999999999964</v>
      </c>
      <c r="DI89" s="310">
        <v>-4.7925595238095315</v>
      </c>
      <c r="DJ89" s="310">
        <v>-6.9104166666666655</v>
      </c>
      <c r="DK89" s="310">
        <v>-0.92514880952381329</v>
      </c>
      <c r="DL89" s="310">
        <v>-4.3569940476190476</v>
      </c>
      <c r="DM89" s="310">
        <v>-3.8863095238095178</v>
      </c>
      <c r="DN89" s="310">
        <v>-1.8331845238095223</v>
      </c>
      <c r="DO89" s="310">
        <v>-3.9888392857142856</v>
      </c>
      <c r="DP89" s="310">
        <v>-2.3916666666666693</v>
      </c>
      <c r="DQ89" s="310">
        <v>-11.058482142857141</v>
      </c>
      <c r="DR89" s="310">
        <v>-0.52708333333333157</v>
      </c>
      <c r="DS89" s="310">
        <v>-3.9101190476190442</v>
      </c>
      <c r="DT89" s="310">
        <v>-1.6837797619047616</v>
      </c>
      <c r="DU89" s="310">
        <v>-0.40818452380952375</v>
      </c>
      <c r="DV89" s="310">
        <v>-3.8751488095238122</v>
      </c>
      <c r="DW89" s="310">
        <v>-4.0108630952381032</v>
      </c>
      <c r="DX89" s="310">
        <v>-5.4107142857143007</v>
      </c>
      <c r="DY89" s="310">
        <v>-2.6812500000000035</v>
      </c>
      <c r="DZ89" s="310">
        <v>-2.544940476190475</v>
      </c>
      <c r="EA89" s="310">
        <v>-2.6744047619047637</v>
      </c>
      <c r="EB89" s="310">
        <v>-3.3261904761904821</v>
      </c>
      <c r="EC89" s="310">
        <v>-3.0736607142857157</v>
      </c>
      <c r="ED89" s="310">
        <v>-4.0004464285714327</v>
      </c>
      <c r="EE89" s="310">
        <v>-2.3403273809523775</v>
      </c>
      <c r="EF89" s="310">
        <v>-2.7433035714285703</v>
      </c>
      <c r="EG89" s="310">
        <v>-6.3382440476190292</v>
      </c>
      <c r="EH89" s="310">
        <v>-0.10982142857142765</v>
      </c>
      <c r="EI89" s="310">
        <v>-4.6572916666666657</v>
      </c>
      <c r="EJ89" s="310">
        <v>-10.001339285714273</v>
      </c>
      <c r="EK89" s="310">
        <v>-0.37916666666666926</v>
      </c>
      <c r="EL89" s="310">
        <v>-10.255357142857132</v>
      </c>
      <c r="EM89" s="310">
        <v>-2.5568452380952444</v>
      </c>
      <c r="EN89" s="310">
        <v>-3.0562500000000044</v>
      </c>
      <c r="EO89" s="310">
        <v>-2.0535714285712724E-2</v>
      </c>
      <c r="EP89" s="310">
        <v>-7.3739583333333245</v>
      </c>
      <c r="EQ89" s="310">
        <v>-9.7770833333333407</v>
      </c>
      <c r="ER89" s="310">
        <v>-2.8008928571428569</v>
      </c>
      <c r="ES89" s="310">
        <v>-2.2785714285714294</v>
      </c>
      <c r="ET89" s="310">
        <v>-2.6931547619047609</v>
      </c>
      <c r="EU89" s="310">
        <v>-3.3127976190476187</v>
      </c>
      <c r="EV89" s="310">
        <v>-5.7601190476190522</v>
      </c>
      <c r="EW89" s="310">
        <v>-3.0175595238095232</v>
      </c>
      <c r="EX89" s="310">
        <v>-3.3171130952380925</v>
      </c>
      <c r="EY89" s="310">
        <v>-5.3041666666666689</v>
      </c>
      <c r="EZ89" s="310">
        <v>-3.6757440476190468</v>
      </c>
      <c r="FA89" s="310">
        <v>-2.0080357142857141</v>
      </c>
      <c r="FB89" s="310">
        <v>-1.2773809523809574</v>
      </c>
      <c r="FC89" s="310">
        <v>-1.15059523809524</v>
      </c>
      <c r="FD89" s="310">
        <v>-2.6052083333333331</v>
      </c>
      <c r="FE89" s="310">
        <v>-4.0625000000000027</v>
      </c>
      <c r="FF89" s="310">
        <v>-4.2413690476190506</v>
      </c>
      <c r="FG89" s="310">
        <v>-4.6318452380952415</v>
      </c>
      <c r="FH89" s="310">
        <v>-6.6364583333333185</v>
      </c>
      <c r="FI89" s="310">
        <v>-3.0422619047619071</v>
      </c>
      <c r="FJ89" s="310">
        <v>-3.1604166666666664</v>
      </c>
      <c r="FK89" s="310">
        <v>-9.3544642857142861</v>
      </c>
      <c r="FL89" s="310">
        <v>-1.8371999999999999</v>
      </c>
      <c r="FM89" s="310">
        <v>-3.2196428571428592</v>
      </c>
      <c r="FN89" s="310">
        <v>-3.0639880952381011</v>
      </c>
      <c r="FO89" s="310">
        <v>-2.438244047619047</v>
      </c>
      <c r="FP89" s="310">
        <v>-3.2416666666666636</v>
      </c>
      <c r="FQ89" s="310">
        <v>-3.9313988095238055</v>
      </c>
      <c r="FR89" s="310">
        <v>-1.7220238095238127</v>
      </c>
      <c r="FS89" s="310">
        <v>-5.9199404761904653</v>
      </c>
      <c r="FT89" s="310">
        <v>-2.6928571428571466</v>
      </c>
      <c r="FU89" s="310">
        <v>-2.1233630952380902</v>
      </c>
      <c r="FV89" s="310">
        <v>-1.6837797619047645</v>
      </c>
      <c r="FW89" s="310">
        <v>-2.4952380952380984</v>
      </c>
      <c r="FX89" s="310">
        <v>-11.966815476190476</v>
      </c>
      <c r="FY89" s="310">
        <v>-2.2941964285714258</v>
      </c>
      <c r="FZ89" s="310">
        <v>-8.8895833333333396</v>
      </c>
      <c r="GA89" s="310">
        <v>-9.2047619047618952</v>
      </c>
      <c r="GB89" s="310">
        <v>-7.5659226190476234</v>
      </c>
      <c r="GC89" s="310">
        <v>-1.3714285714285732</v>
      </c>
      <c r="GD89" s="310">
        <v>-5.7145833333333238</v>
      </c>
      <c r="GE89" s="310">
        <v>-4.0769345238095251</v>
      </c>
      <c r="GF89" s="310">
        <v>-2.9151785714285645</v>
      </c>
      <c r="GG89" s="310">
        <v>-3.6941964285714204</v>
      </c>
      <c r="GH89" s="310">
        <v>-3.4930059523809533</v>
      </c>
      <c r="GI89" s="310">
        <v>0.55654761904761829</v>
      </c>
      <c r="GJ89" s="310">
        <v>-0.79776785714285892</v>
      </c>
      <c r="GK89" s="310">
        <v>-3.1180059523809533</v>
      </c>
      <c r="GL89" s="310">
        <v>-7.9854166666666613</v>
      </c>
      <c r="GM89" s="310">
        <v>-4.044047619047622</v>
      </c>
      <c r="GN89" s="310">
        <v>-0.49970238095238201</v>
      </c>
      <c r="GO89" s="310">
        <v>-2.5885416666666656</v>
      </c>
      <c r="GP89" s="310">
        <v>-3.3989583333333351</v>
      </c>
      <c r="GQ89" s="310">
        <v>-4.4319940476190505</v>
      </c>
      <c r="GR89" s="310">
        <v>-8.5938988095237985</v>
      </c>
      <c r="GS89" s="310">
        <v>-2.9327380952380957</v>
      </c>
      <c r="GT89" s="310">
        <v>-2.6525297619047588</v>
      </c>
      <c r="GU89" s="310">
        <v>-9.955208333333335</v>
      </c>
      <c r="GV89" s="310">
        <v>-2.3218750000000008</v>
      </c>
      <c r="GW89" s="310">
        <v>-0.30848214285714082</v>
      </c>
      <c r="GX89" s="310">
        <v>-2.5303571428571394</v>
      </c>
      <c r="GY89" s="310">
        <v>-2.652083333333338</v>
      </c>
      <c r="GZ89" s="310">
        <v>-2.6627976190476197</v>
      </c>
      <c r="HA89" s="310">
        <v>-4.984970238095233</v>
      </c>
      <c r="HB89" s="310">
        <v>-8.1851190476190556</v>
      </c>
      <c r="HC89" s="310">
        <v>-9.740476190476171</v>
      </c>
      <c r="HD89" s="310">
        <v>-3.7541666666666678</v>
      </c>
      <c r="HE89" s="310">
        <v>-2.6943452380952428</v>
      </c>
      <c r="HF89" s="310">
        <v>-8.5651785714285698</v>
      </c>
      <c r="HG89" s="310">
        <v>-2.7099702380952415</v>
      </c>
      <c r="HH89" s="310">
        <v>-4.9989583333333307</v>
      </c>
      <c r="HI89" s="310">
        <v>-4.9889880952380947</v>
      </c>
      <c r="HJ89" s="310">
        <v>-3.7898809523809467</v>
      </c>
      <c r="HK89" s="310">
        <v>-0.91354166666666514</v>
      </c>
      <c r="HL89" s="310">
        <v>-0.40952380952380618</v>
      </c>
      <c r="HM89" s="310">
        <v>-7.2809523809523835</v>
      </c>
      <c r="HN89" s="310">
        <v>-3.3825892857142841</v>
      </c>
      <c r="HO89" s="310">
        <v>-7.4144345238095317</v>
      </c>
      <c r="HP89" s="310">
        <v>-2.7319940476190472</v>
      </c>
      <c r="HQ89" s="310">
        <v>-3.6313988095238106</v>
      </c>
      <c r="HR89" s="310">
        <v>-7.1738095238095294</v>
      </c>
      <c r="HS89" s="310">
        <v>-9.2718750000000032</v>
      </c>
      <c r="HT89" s="310">
        <v>-4.4882440476190499</v>
      </c>
      <c r="HU89" s="310">
        <v>-3.1812499999999941</v>
      </c>
      <c r="HV89" s="310">
        <v>-3.2696428571428608</v>
      </c>
      <c r="HW89" s="310">
        <v>-2.9943452380952413</v>
      </c>
      <c r="HX89" s="310">
        <v>-2.9936011904761894</v>
      </c>
      <c r="HY89" s="310">
        <v>-0.7047619047619067</v>
      </c>
      <c r="HZ89" s="310">
        <v>-3.006250000000005</v>
      </c>
      <c r="IA89" s="310">
        <v>-3.0833333333333375</v>
      </c>
      <c r="IB89" s="310">
        <v>-3.048214285714288</v>
      </c>
      <c r="IC89" s="310">
        <v>-3.7353999999999998</v>
      </c>
      <c r="ID89" s="310">
        <v>-5.6562500000000018</v>
      </c>
      <c r="IE89" s="310">
        <v>-2.2055059523809524</v>
      </c>
      <c r="IF89" s="310">
        <v>-1.8892857142857131</v>
      </c>
      <c r="IG89" s="310">
        <v>-0.73690476190476473</v>
      </c>
      <c r="IH89" s="310">
        <v>-6.1812499999999977</v>
      </c>
      <c r="II89" s="310">
        <v>-1.4279999999999999</v>
      </c>
      <c r="IJ89" s="310">
        <v>-3.430654761904762</v>
      </c>
      <c r="IK89" s="310">
        <v>-2.8750000000000049</v>
      </c>
      <c r="IL89" s="310">
        <v>2.0386904761902698E-2</v>
      </c>
      <c r="IM89" s="310">
        <v>-3.2255952380952388</v>
      </c>
      <c r="IN89" s="310">
        <v>-2.93452380952382</v>
      </c>
      <c r="IO89" s="310">
        <v>-2.6200892857142857</v>
      </c>
      <c r="IP89" s="310">
        <v>-2.9376488095238096</v>
      </c>
      <c r="IQ89" s="310">
        <v>-8.4605654761904798</v>
      </c>
      <c r="IR89" s="310">
        <v>-3.8086309523809492</v>
      </c>
      <c r="IS89" s="310">
        <v>-3.4443452380952415</v>
      </c>
      <c r="IT89" s="310">
        <v>-3.0165178571428597</v>
      </c>
      <c r="IU89" s="310">
        <v>-2.8657738095238074</v>
      </c>
      <c r="IV89" s="310">
        <v>-3.5349702380952386</v>
      </c>
      <c r="IW89" s="310">
        <v>-4.0760416666666668</v>
      </c>
      <c r="IX89" s="310">
        <v>-3.3025297619047662</v>
      </c>
      <c r="IY89" s="310">
        <v>-3.2537202380952395</v>
      </c>
      <c r="IZ89" s="310">
        <v>-3.6220238095238115</v>
      </c>
      <c r="JA89" s="310">
        <v>-2.6153273809523778</v>
      </c>
      <c r="JB89" s="310">
        <v>-3.4151785714285707</v>
      </c>
      <c r="JC89" s="310">
        <v>-2.6601190476190459</v>
      </c>
      <c r="JD89" s="310">
        <v>-3.6717261904761918</v>
      </c>
      <c r="JE89" s="310">
        <v>-6.8245535714285737</v>
      </c>
      <c r="JF89" s="310">
        <v>-3.1696428571428603</v>
      </c>
      <c r="JG89" s="310">
        <v>-1.6840773809523772</v>
      </c>
      <c r="JH89" s="310">
        <v>-2.9529761904761913</v>
      </c>
      <c r="JI89" s="310">
        <v>-10.225000000000009</v>
      </c>
      <c r="JJ89" s="310">
        <v>-3.2965773809523773</v>
      </c>
      <c r="JK89" s="310">
        <v>-9.2282738095238095</v>
      </c>
      <c r="JL89" s="310">
        <v>-3.8370535714285734</v>
      </c>
      <c r="JM89" s="310">
        <v>-0.53139880952381291</v>
      </c>
      <c r="JN89" s="310">
        <v>-3.4255952380952395</v>
      </c>
      <c r="JO89" s="310">
        <v>-3.1514880952381001</v>
      </c>
      <c r="JP89" s="310">
        <v>-8.1516369047618991</v>
      </c>
      <c r="JQ89" s="310">
        <v>-2.5147321428571479</v>
      </c>
      <c r="JR89" s="310">
        <v>-2.9913690476190564</v>
      </c>
      <c r="JS89" s="310">
        <v>-1.7354166666666677</v>
      </c>
      <c r="JT89" s="310">
        <v>-3.6492559523809609</v>
      </c>
      <c r="JU89" s="310">
        <v>-2.7288690476190447</v>
      </c>
      <c r="JV89" s="310">
        <v>-3.269196428571437</v>
      </c>
      <c r="JW89" s="310">
        <v>-0.15461309523809427</v>
      </c>
      <c r="JX89" s="310">
        <v>-3.2947916666666637</v>
      </c>
      <c r="JY89" s="310">
        <v>-7.3181547619047667</v>
      </c>
      <c r="JZ89" s="310">
        <v>-8.0873511904761859</v>
      </c>
      <c r="KA89" s="310">
        <v>-4.571577380952375</v>
      </c>
      <c r="KB89" s="310">
        <v>-2.675297619047627</v>
      </c>
      <c r="KC89" s="310">
        <v>-3.3607142857142853</v>
      </c>
      <c r="KD89" s="310">
        <v>-2.6117559523809568</v>
      </c>
      <c r="KE89" s="310">
        <v>-6.7065476190476137</v>
      </c>
      <c r="KF89" s="310">
        <v>-10.605059523809526</v>
      </c>
      <c r="KG89" s="310">
        <v>-1.0752976190476158</v>
      </c>
      <c r="KH89" s="310">
        <v>-1.4458333333333324</v>
      </c>
      <c r="KI89" s="310">
        <v>-2.3000000000000016</v>
      </c>
      <c r="KJ89" s="310">
        <v>-3.5968749999999896</v>
      </c>
      <c r="KK89" s="310">
        <v>-1.8702380952380975</v>
      </c>
      <c r="KL89" s="310">
        <v>-6.4514880952380933</v>
      </c>
      <c r="KM89" s="310">
        <v>-7.0354166666666611</v>
      </c>
      <c r="KN89" s="310">
        <v>-2.9696428571428588</v>
      </c>
      <c r="KO89" s="310">
        <v>-3.009821428571422</v>
      </c>
      <c r="KP89" s="310">
        <v>-7.1455357142857121</v>
      </c>
      <c r="KQ89" s="310">
        <v>-12.244494047619051</v>
      </c>
      <c r="KR89" s="310">
        <v>-12.359821428571422</v>
      </c>
    </row>
    <row r="90" spans="1:304" x14ac:dyDescent="0.25">
      <c r="A90" s="310">
        <v>2021</v>
      </c>
      <c r="B90" s="310">
        <v>3</v>
      </c>
      <c r="C90" s="310">
        <v>-5.1026881720430124</v>
      </c>
      <c r="D90" s="310">
        <v>2.7665322580645162</v>
      </c>
      <c r="E90" s="310">
        <v>3.1603494623655917</v>
      </c>
      <c r="F90" s="310">
        <v>2.7178763440860219</v>
      </c>
      <c r="G90" s="310">
        <v>2.5286290322580642</v>
      </c>
      <c r="H90" s="310">
        <v>3.053897849462365</v>
      </c>
      <c r="I90" s="310">
        <v>-4.0681451612903201</v>
      </c>
      <c r="J90" s="310">
        <v>-3.7102150537634464</v>
      </c>
      <c r="K90" s="310">
        <v>2.0548387096774183</v>
      </c>
      <c r="L90" s="310">
        <v>2.4938172043010738</v>
      </c>
      <c r="M90" s="310">
        <v>2.3541666666666674</v>
      </c>
      <c r="N90" s="310">
        <v>2.6397849462365599</v>
      </c>
      <c r="O90" s="310">
        <v>-1.2837365591397845</v>
      </c>
      <c r="P90" s="310">
        <v>3.7487903225806436</v>
      </c>
      <c r="Q90" s="310">
        <v>-2.5344086021505383</v>
      </c>
      <c r="R90" s="310">
        <v>2.3841397849462362</v>
      </c>
      <c r="S90" s="310">
        <v>1.5462365591397838</v>
      </c>
      <c r="T90" s="310">
        <v>3.4932795698924757</v>
      </c>
      <c r="U90" s="310">
        <v>1.909</v>
      </c>
      <c r="V90" s="310">
        <v>1.9549731182795693</v>
      </c>
      <c r="W90" s="310">
        <v>2.7655913978494606</v>
      </c>
      <c r="X90" s="310">
        <v>3.3829301075268821</v>
      </c>
      <c r="Y90" s="310">
        <v>3.808198924731184</v>
      </c>
      <c r="Z90" s="310">
        <v>-0.67862903225806526</v>
      </c>
      <c r="AA90" s="310">
        <v>4.1956989247311816</v>
      </c>
      <c r="AB90" s="310">
        <v>3.4971774193548386</v>
      </c>
      <c r="AC90" s="310">
        <v>1.7557795698924736</v>
      </c>
      <c r="AD90" s="310">
        <v>2.5013440860215046</v>
      </c>
      <c r="AE90" s="310">
        <v>2.9489247311827951</v>
      </c>
      <c r="AF90" s="310">
        <v>1.8780913978494627</v>
      </c>
      <c r="AG90" s="310">
        <v>1.1348118279569883</v>
      </c>
      <c r="AH90" s="310">
        <v>-1.86774193548387</v>
      </c>
      <c r="AI90" s="310">
        <v>1.0512096774193556</v>
      </c>
      <c r="AJ90" s="310">
        <v>2.1264784946236555</v>
      </c>
      <c r="AK90" s="310">
        <v>2.6037634408602153</v>
      </c>
      <c r="AL90" s="310">
        <v>2.7370967741935481</v>
      </c>
      <c r="AM90" s="310">
        <v>3.0252688172043007</v>
      </c>
      <c r="AN90" s="310">
        <v>3.7443548387096799</v>
      </c>
      <c r="AO90" s="310">
        <v>2.8383064516129042</v>
      </c>
      <c r="AP90" s="310">
        <v>2.1846774193548386</v>
      </c>
      <c r="AQ90" s="310">
        <v>3.1853494623655907</v>
      </c>
      <c r="AR90" s="310">
        <v>2.2112903225806444</v>
      </c>
      <c r="AS90" s="310">
        <v>3.9569892473118293</v>
      </c>
      <c r="AT90" s="310">
        <v>1.8048387096774199</v>
      </c>
      <c r="AU90" s="310">
        <v>1.4098118279569907</v>
      </c>
      <c r="AV90" s="310">
        <v>2.4321236559139789</v>
      </c>
      <c r="AW90" s="310">
        <v>2.9012096774193536</v>
      </c>
      <c r="AX90" s="310">
        <v>2.974193548387098</v>
      </c>
      <c r="AY90" s="310">
        <v>2.3588709677419368</v>
      </c>
      <c r="AZ90" s="310">
        <v>-2.0236559139784975</v>
      </c>
      <c r="BA90" s="310">
        <v>2.6525537634408587</v>
      </c>
      <c r="BB90" s="310">
        <v>-0.85564516129032342</v>
      </c>
      <c r="BC90" s="310">
        <v>1.370295698924731</v>
      </c>
      <c r="BD90" s="310">
        <v>2.2581989247311824</v>
      </c>
      <c r="BE90" s="310">
        <v>2.7190860215053743</v>
      </c>
      <c r="BF90" s="310">
        <v>3.109543010752688</v>
      </c>
      <c r="BG90" s="310">
        <v>-2.7607526881720443</v>
      </c>
      <c r="BH90" s="310">
        <v>-4.8759408602150547</v>
      </c>
      <c r="BI90" s="310">
        <v>2.5845430107526868</v>
      </c>
      <c r="BJ90" s="310">
        <v>3.5193548387096771</v>
      </c>
      <c r="BK90" s="310">
        <v>3.0923387096774171</v>
      </c>
      <c r="BL90" s="310">
        <v>2.5869623655913996</v>
      </c>
      <c r="BM90" s="310">
        <v>1.3571236559139785</v>
      </c>
      <c r="BN90" s="310">
        <v>2.7262096774193552</v>
      </c>
      <c r="BO90" s="310">
        <v>2.7630376344086018</v>
      </c>
      <c r="BP90" s="310">
        <v>3.2782258064516148</v>
      </c>
      <c r="BQ90" s="310">
        <v>-0.30860215053763423</v>
      </c>
      <c r="BR90" s="310">
        <v>2.5146505376344086</v>
      </c>
      <c r="BS90" s="310">
        <v>2.5772849462365603</v>
      </c>
      <c r="BT90" s="310">
        <v>-3.7842741935483879</v>
      </c>
      <c r="BU90" s="310">
        <v>-1.363172043010757</v>
      </c>
      <c r="BV90" s="310">
        <v>2.2235215053763437</v>
      </c>
      <c r="BW90" s="310">
        <v>3.9803763440860229</v>
      </c>
      <c r="BX90" s="310">
        <v>-3.6979838709677404</v>
      </c>
      <c r="BY90" s="310">
        <v>2.7245967741935506</v>
      </c>
      <c r="BZ90" s="310">
        <v>2.4275537634408582</v>
      </c>
      <c r="CA90" s="310">
        <v>3.0477150537634401</v>
      </c>
      <c r="CB90" s="310">
        <v>1.8963709677419358</v>
      </c>
      <c r="CC90" s="310">
        <v>2.5551075268817205</v>
      </c>
      <c r="CD90" s="310">
        <v>2.8212365591397845</v>
      </c>
      <c r="CE90" s="310">
        <v>1.8895161290322593</v>
      </c>
      <c r="CF90" s="310">
        <v>2.9473118279569901</v>
      </c>
      <c r="CG90" s="310">
        <v>2.5438172043010736</v>
      </c>
      <c r="CH90" s="310">
        <v>1.4168010752688156</v>
      </c>
      <c r="CI90" s="310">
        <v>1.1822580645161291</v>
      </c>
      <c r="CJ90" s="310">
        <v>3.081586021505375</v>
      </c>
      <c r="CK90" s="310">
        <v>3.2268817204301112</v>
      </c>
      <c r="CL90" s="310">
        <v>3.904838709677418</v>
      </c>
      <c r="CM90" s="310">
        <v>3.334677419354835</v>
      </c>
      <c r="CN90" s="310">
        <v>3.3358870967741918</v>
      </c>
      <c r="CO90" s="310">
        <v>3.3458333333333319</v>
      </c>
      <c r="CP90" s="310">
        <v>-4.0779569892473146</v>
      </c>
      <c r="CQ90" s="310">
        <v>-1.1017473118279568</v>
      </c>
      <c r="CR90" s="310">
        <v>2.935080645161289</v>
      </c>
      <c r="CS90" s="310">
        <v>2.5677419354838698</v>
      </c>
      <c r="CT90" s="310">
        <v>-3.4751344086021518</v>
      </c>
      <c r="CU90" s="310">
        <v>3.5357526881720434</v>
      </c>
      <c r="CV90" s="310">
        <v>-6.0344086021505419</v>
      </c>
      <c r="CW90" s="310">
        <v>2.9965053763440843</v>
      </c>
      <c r="CX90" s="310">
        <v>3.3764784946236541</v>
      </c>
      <c r="CY90" s="310">
        <v>1.6573924731182801</v>
      </c>
      <c r="CZ90" s="310">
        <v>3.1513440860215076</v>
      </c>
      <c r="DA90" s="310">
        <v>2.491666666666668</v>
      </c>
      <c r="DB90" s="310">
        <v>2.946102150537635</v>
      </c>
      <c r="DC90" s="310">
        <v>2.4465053763440867</v>
      </c>
      <c r="DD90" s="310">
        <v>2.5286290322580616</v>
      </c>
      <c r="DE90" s="310">
        <v>-4.9763440860215002</v>
      </c>
      <c r="DF90" s="310">
        <v>2.7565860215053779</v>
      </c>
      <c r="DG90" s="310">
        <v>3.4430107526881737</v>
      </c>
      <c r="DH90" s="310">
        <v>2.5654569892473127</v>
      </c>
      <c r="DI90" s="310">
        <v>1.3864247311827951</v>
      </c>
      <c r="DJ90" s="310">
        <v>0.34301075268817227</v>
      </c>
      <c r="DK90" s="310">
        <v>4.0780913978494588</v>
      </c>
      <c r="DL90" s="310">
        <v>1.7862903225806448</v>
      </c>
      <c r="DM90" s="310">
        <v>2.8364247311827939</v>
      </c>
      <c r="DN90" s="310">
        <v>3.2422043010752706</v>
      </c>
      <c r="DO90" s="310">
        <v>3.13534946236559</v>
      </c>
      <c r="DP90" s="310">
        <v>3.2946236559139797</v>
      </c>
      <c r="DQ90" s="310">
        <v>-4.2244623655913971</v>
      </c>
      <c r="DR90" s="310">
        <v>3.9979838709677451</v>
      </c>
      <c r="DS90" s="310">
        <v>3.0239247311827953</v>
      </c>
      <c r="DT90" s="310">
        <v>3.3658602150537655</v>
      </c>
      <c r="DU90" s="310">
        <v>4.048521505376347</v>
      </c>
      <c r="DV90" s="310">
        <v>2.4991935483870971</v>
      </c>
      <c r="DW90" s="310">
        <v>2.5860215053763436</v>
      </c>
      <c r="DX90" s="310">
        <v>1.3744623655913977</v>
      </c>
      <c r="DY90" s="310">
        <v>2.8497311827956979</v>
      </c>
      <c r="DZ90" s="310">
        <v>2.3801075268817202</v>
      </c>
      <c r="EA90" s="310">
        <v>2.9346774193548395</v>
      </c>
      <c r="EB90" s="310">
        <v>3.3022849462365622</v>
      </c>
      <c r="EC90" s="310">
        <v>2.9354838709677411</v>
      </c>
      <c r="ED90" s="310">
        <v>2.2622311827956993</v>
      </c>
      <c r="EE90" s="310">
        <v>3.3060483870967734</v>
      </c>
      <c r="EF90" s="310">
        <v>2.6001344086021483</v>
      </c>
      <c r="EG90" s="310">
        <v>0.88481182795698854</v>
      </c>
      <c r="EH90" s="310">
        <v>4.2075268817204279</v>
      </c>
      <c r="EI90" s="310">
        <v>1.7067204301075263</v>
      </c>
      <c r="EJ90" s="310">
        <v>-2.5385752688171994</v>
      </c>
      <c r="EK90" s="310">
        <v>4.0485215053763426</v>
      </c>
      <c r="EL90" s="310">
        <v>-2.0000000000000013</v>
      </c>
      <c r="EM90" s="310">
        <v>3.3649193548387104</v>
      </c>
      <c r="EN90" s="310">
        <v>2.7399193548387095</v>
      </c>
      <c r="EO90" s="310">
        <v>4.1612903225806486</v>
      </c>
      <c r="EP90" s="310">
        <v>0.52661290322580634</v>
      </c>
      <c r="EQ90" s="310">
        <v>-3.1939516129032284</v>
      </c>
      <c r="ER90" s="310">
        <v>3.1767473118279574</v>
      </c>
      <c r="ES90" s="310">
        <v>2.8575268817204309</v>
      </c>
      <c r="ET90" s="310">
        <v>3.3014784946236544</v>
      </c>
      <c r="EU90" s="310">
        <v>3.1869623655913939</v>
      </c>
      <c r="EV90" s="310">
        <v>1.4920698924731182</v>
      </c>
      <c r="EW90" s="310">
        <v>2.8181451612903219</v>
      </c>
      <c r="EX90" s="310">
        <v>2.7021505376344068</v>
      </c>
      <c r="EY90" s="310">
        <v>1.7173387096774182</v>
      </c>
      <c r="EZ90" s="310">
        <v>2.7174731182795702</v>
      </c>
      <c r="FA90" s="310">
        <v>3.2927419354838698</v>
      </c>
      <c r="FB90" s="310">
        <v>3.637903225806451</v>
      </c>
      <c r="FC90" s="310">
        <v>3.2436827956989251</v>
      </c>
      <c r="FD90" s="310">
        <v>2.9760752688172047</v>
      </c>
      <c r="FE90" s="310">
        <v>2.131317204301074</v>
      </c>
      <c r="FF90" s="310">
        <v>2.2206989247311824</v>
      </c>
      <c r="FG90" s="310">
        <v>1.3008064516129036</v>
      </c>
      <c r="FH90" s="310">
        <v>-0.32956989247311907</v>
      </c>
      <c r="FI90" s="310">
        <v>3.2385752688172</v>
      </c>
      <c r="FJ90" s="310">
        <v>2.3438172043010757</v>
      </c>
      <c r="FK90" s="310">
        <v>-2.6487903225806484</v>
      </c>
      <c r="FL90" s="310">
        <v>3.1490999999999998</v>
      </c>
      <c r="FM90" s="310">
        <v>2.7991935483870987</v>
      </c>
      <c r="FN90" s="310">
        <v>3.0654569892473127</v>
      </c>
      <c r="FO90" s="310">
        <v>2.5494623655913986</v>
      </c>
      <c r="FP90" s="310">
        <v>1.808870967741935</v>
      </c>
      <c r="FQ90" s="310">
        <v>1.8826612903225801</v>
      </c>
      <c r="FR90" s="310">
        <v>3.2279569892473123</v>
      </c>
      <c r="FS90" s="310">
        <v>1.0182795698924729</v>
      </c>
      <c r="FT90" s="310">
        <v>3.1540322580645173</v>
      </c>
      <c r="FU90" s="310">
        <v>2.9607526881720427</v>
      </c>
      <c r="FV90" s="310">
        <v>3.4841397849462412</v>
      </c>
      <c r="FW90" s="310">
        <v>3.1545698924731203</v>
      </c>
      <c r="FX90" s="310">
        <v>-4.5241935483870979</v>
      </c>
      <c r="FY90" s="310">
        <v>3.1568548387096755</v>
      </c>
      <c r="FZ90" s="310">
        <v>-1.8506720430107544</v>
      </c>
      <c r="GA90" s="310">
        <v>-4.7388440860215129</v>
      </c>
      <c r="GB90" s="310">
        <v>-0.95349462365591431</v>
      </c>
      <c r="GC90" s="310">
        <v>3.1568548387096804</v>
      </c>
      <c r="GD90" s="310">
        <v>1.0725806451612894</v>
      </c>
      <c r="GE90" s="310">
        <v>2.4115591397849467</v>
      </c>
      <c r="GF90" s="310">
        <v>2.8965053763440856</v>
      </c>
      <c r="GG90" s="310">
        <v>2.3377688172043021</v>
      </c>
      <c r="GH90" s="310">
        <v>2.5493279569892491</v>
      </c>
      <c r="GI90" s="310">
        <v>3.7970430107526911</v>
      </c>
      <c r="GJ90" s="310">
        <v>3.542876344086022</v>
      </c>
      <c r="GK90" s="310">
        <v>2.7901881720430102</v>
      </c>
      <c r="GL90" s="310">
        <v>-1.1908602150537617</v>
      </c>
      <c r="GM90" s="310">
        <v>2.1704301075268817</v>
      </c>
      <c r="GN90" s="310">
        <v>3.5344086021505383</v>
      </c>
      <c r="GO90" s="310">
        <v>2.5422043010752704</v>
      </c>
      <c r="GP90" s="310">
        <v>2.6805107526881717</v>
      </c>
      <c r="GQ90" s="310">
        <v>1.939381720430108</v>
      </c>
      <c r="GR90" s="310">
        <v>-0.37284946236559213</v>
      </c>
      <c r="GS90" s="310">
        <v>2.8569892473118284</v>
      </c>
      <c r="GT90" s="310">
        <v>3.0469086021505354</v>
      </c>
      <c r="GU90" s="310">
        <v>-3.093279569892474</v>
      </c>
      <c r="GV90" s="310">
        <v>3.5611559139784945</v>
      </c>
      <c r="GW90" s="310">
        <v>4.0147849462365599</v>
      </c>
      <c r="GX90" s="310">
        <v>3.06236559139785</v>
      </c>
      <c r="GY90" s="310">
        <v>3.0209677419354839</v>
      </c>
      <c r="GZ90" s="310">
        <v>3.0520161290322547</v>
      </c>
      <c r="HA90" s="310">
        <v>1.4346774193548379</v>
      </c>
      <c r="HB90" s="310">
        <v>-1.9928763440860218</v>
      </c>
      <c r="HC90" s="310">
        <v>-2.661827956989244</v>
      </c>
      <c r="HD90" s="310">
        <v>2.8630376344086015</v>
      </c>
      <c r="HE90" s="310">
        <v>3.1631720430107535</v>
      </c>
      <c r="HF90" s="310">
        <v>-1.1403225806451602</v>
      </c>
      <c r="HG90" s="310">
        <v>3.0185483870967724</v>
      </c>
      <c r="HH90" s="310">
        <v>1.2622311827956991</v>
      </c>
      <c r="HI90" s="310">
        <v>2.064650537634408</v>
      </c>
      <c r="HJ90" s="310">
        <v>2.5443548387096766</v>
      </c>
      <c r="HK90" s="310">
        <v>3.7284946236559144</v>
      </c>
      <c r="HL90" s="310">
        <v>3.7825268817204294</v>
      </c>
      <c r="HM90" s="310">
        <v>-0.74637096774193634</v>
      </c>
      <c r="HN90" s="310">
        <v>2.0465053763440872</v>
      </c>
      <c r="HO90" s="310">
        <v>-0.6038978494623658</v>
      </c>
      <c r="HP90" s="310">
        <v>3.0616935483870975</v>
      </c>
      <c r="HQ90" s="310">
        <v>2.7891129032258082</v>
      </c>
      <c r="HR90" s="310">
        <v>-0.79596774193548625</v>
      </c>
      <c r="HS90" s="310">
        <v>-1.8736559139784934</v>
      </c>
      <c r="HT90" s="310">
        <v>2.1694892473118275</v>
      </c>
      <c r="HU90" s="310">
        <v>1.9557795698924727</v>
      </c>
      <c r="HV90" s="310">
        <v>2.2228494623655903</v>
      </c>
      <c r="HW90" s="310">
        <v>3.3654569892473112</v>
      </c>
      <c r="HX90" s="310">
        <v>2.8447580645161294</v>
      </c>
      <c r="HY90" s="310">
        <v>3.6881720430107521</v>
      </c>
      <c r="HZ90" s="310">
        <v>2.8446236559139781</v>
      </c>
      <c r="IA90" s="310">
        <v>2.9866935483870991</v>
      </c>
      <c r="IB90" s="310">
        <v>2.506182795698924</v>
      </c>
      <c r="IC90" s="310">
        <v>2.4859</v>
      </c>
      <c r="ID90" s="310">
        <v>0.73185483870967682</v>
      </c>
      <c r="IE90" s="310">
        <v>2.7763440860215041</v>
      </c>
      <c r="IF90" s="310">
        <v>3.5629032258064495</v>
      </c>
      <c r="IG90" s="310">
        <v>3.4862903225806434</v>
      </c>
      <c r="IH90" s="310">
        <v>1.6712365591397838</v>
      </c>
      <c r="II90" s="310">
        <v>3.1861999999999999</v>
      </c>
      <c r="IJ90" s="310">
        <v>1.9907258064516122</v>
      </c>
      <c r="IK90" s="310">
        <v>2.6666666666666665</v>
      </c>
      <c r="IL90" s="310">
        <v>3.7711021505376361</v>
      </c>
      <c r="IM90" s="310">
        <v>3.0623655913978496</v>
      </c>
      <c r="IN90" s="310">
        <v>2.7783602150537652</v>
      </c>
      <c r="IO90" s="310">
        <v>2.797043010752688</v>
      </c>
      <c r="IP90" s="310">
        <v>2.83279569892473</v>
      </c>
      <c r="IQ90" s="310">
        <v>-2.1795698924731184</v>
      </c>
      <c r="IR90" s="310">
        <v>2.4504032258064523</v>
      </c>
      <c r="IS90" s="310">
        <v>2.8846774193548401</v>
      </c>
      <c r="IT90" s="310">
        <v>2.9747311827956975</v>
      </c>
      <c r="IU90" s="310">
        <v>2.552822580645159</v>
      </c>
      <c r="IV90" s="310">
        <v>1.7450268817204309</v>
      </c>
      <c r="IW90" s="310">
        <v>2.3541666666666674</v>
      </c>
      <c r="IX90" s="310">
        <v>2.5819892473118276</v>
      </c>
      <c r="IY90" s="310">
        <v>2.6586021505376336</v>
      </c>
      <c r="IZ90" s="310">
        <v>2.7448924731182793</v>
      </c>
      <c r="JA90" s="310">
        <v>3.0315860215053765</v>
      </c>
      <c r="JB90" s="310">
        <v>2.0499999999999985</v>
      </c>
      <c r="JC90" s="310">
        <v>3.4053763440860232</v>
      </c>
      <c r="JD90" s="310">
        <v>2.4223118279569902</v>
      </c>
      <c r="JE90" s="310">
        <v>1.1258064516129038</v>
      </c>
      <c r="JF90" s="310">
        <v>3.0022849462365597</v>
      </c>
      <c r="JG90" s="310">
        <v>3.2556451612903201</v>
      </c>
      <c r="JH90" s="310">
        <v>2.2163978494623651</v>
      </c>
      <c r="JI90" s="310">
        <v>-2.4283602150537664</v>
      </c>
      <c r="JJ90" s="310">
        <v>2.8892473118279574</v>
      </c>
      <c r="JK90" s="310">
        <v>-1.7088709677419349</v>
      </c>
      <c r="JL90" s="310">
        <v>2.9188172043010763</v>
      </c>
      <c r="JM90" s="310">
        <v>2.9712365591397867</v>
      </c>
      <c r="JN90" s="310">
        <v>2.4700268817204289</v>
      </c>
      <c r="JO90" s="310">
        <v>3.0969086021505383</v>
      </c>
      <c r="JP90" s="310">
        <v>-1.1221774193548368</v>
      </c>
      <c r="JQ90" s="310">
        <v>2.7869623655913962</v>
      </c>
      <c r="JR90" s="310">
        <v>2.4924731182795696</v>
      </c>
      <c r="JS90" s="310">
        <v>3.7850806451612877</v>
      </c>
      <c r="JT90" s="310">
        <v>2.8715053763440865</v>
      </c>
      <c r="JU90" s="310">
        <v>2.4850806451612888</v>
      </c>
      <c r="JV90" s="310">
        <v>2.4639784946236558</v>
      </c>
      <c r="JW90" s="310">
        <v>3.4911290322580646</v>
      </c>
      <c r="JX90" s="310">
        <v>2.9353494623655902</v>
      </c>
      <c r="JY90" s="310">
        <v>-9.7849462365591375E-2</v>
      </c>
      <c r="JZ90" s="310">
        <v>-1.1829301075268814</v>
      </c>
      <c r="KA90" s="310">
        <v>2.0931451612903222</v>
      </c>
      <c r="KB90" s="310">
        <v>2.1638440860215056</v>
      </c>
      <c r="KC90" s="310">
        <v>3.0232526881720441</v>
      </c>
      <c r="KD90" s="310">
        <v>2.5475806451612906</v>
      </c>
      <c r="KE90" s="310">
        <v>0.16397849462365582</v>
      </c>
      <c r="KF90" s="310">
        <v>-2.374462365591397</v>
      </c>
      <c r="KG90" s="310">
        <v>3.6790322580645194</v>
      </c>
      <c r="KH90" s="310">
        <v>3.834811827956992</v>
      </c>
      <c r="KI90" s="310">
        <v>2.9537634408602167</v>
      </c>
      <c r="KJ90" s="310">
        <v>3.0106182795698921</v>
      </c>
      <c r="KK90" s="310">
        <v>3.059543010752686</v>
      </c>
      <c r="KL90" s="310">
        <v>-1.814516129032227E-2</v>
      </c>
      <c r="KM90" s="310">
        <v>-0.46021505376344279</v>
      </c>
      <c r="KN90" s="310">
        <v>2.657392473118279</v>
      </c>
      <c r="KO90" s="310">
        <v>2.3907258064516119</v>
      </c>
      <c r="KP90" s="310">
        <v>0.73064516129032286</v>
      </c>
      <c r="KQ90" s="310">
        <v>-3.6216397849462303</v>
      </c>
      <c r="KR90" s="310">
        <v>-3.9447580645161255</v>
      </c>
    </row>
    <row r="91" spans="1:304" x14ac:dyDescent="0.25">
      <c r="A91" s="310">
        <v>2021</v>
      </c>
      <c r="B91" s="310">
        <v>4</v>
      </c>
      <c r="C91" s="310">
        <v>-2.0437499999999993</v>
      </c>
      <c r="D91" s="310">
        <v>4.7415277777777813</v>
      </c>
      <c r="E91" s="310">
        <v>5.3480555555555505</v>
      </c>
      <c r="F91" s="310">
        <v>4.6780555555555488</v>
      </c>
      <c r="G91" s="310">
        <v>4.2370833333333335</v>
      </c>
      <c r="H91" s="310">
        <v>4.6918055555555602</v>
      </c>
      <c r="I91" s="310">
        <v>-0.64097222222222117</v>
      </c>
      <c r="J91" s="310">
        <v>-0.34513888888888827</v>
      </c>
      <c r="K91" s="310">
        <v>3.7805555555555568</v>
      </c>
      <c r="L91" s="310">
        <v>4.2122222222222252</v>
      </c>
      <c r="M91" s="310">
        <v>3.8404166666666653</v>
      </c>
      <c r="N91" s="310">
        <v>4.4601388888888875</v>
      </c>
      <c r="O91" s="310">
        <v>1.9124999999999981</v>
      </c>
      <c r="P91" s="310">
        <v>5.8506944444444491</v>
      </c>
      <c r="Q91" s="310">
        <v>1.726249999999999</v>
      </c>
      <c r="R91" s="310">
        <v>4.5072222222222216</v>
      </c>
      <c r="S91" s="310">
        <v>3.3804166666666662</v>
      </c>
      <c r="T91" s="310">
        <v>4.5954166666666696</v>
      </c>
      <c r="U91" s="310">
        <v>3.411</v>
      </c>
      <c r="V91" s="310">
        <v>3.965694444444444</v>
      </c>
      <c r="W91" s="310">
        <v>4.4369444444444408</v>
      </c>
      <c r="X91" s="310">
        <v>5.1011111111111029</v>
      </c>
      <c r="Y91" s="310">
        <v>5.6855555555555597</v>
      </c>
      <c r="Z91" s="310">
        <v>1.2668055555555569</v>
      </c>
      <c r="AA91" s="310">
        <v>6.3338888888888913</v>
      </c>
      <c r="AB91" s="310">
        <v>5.6715277777777748</v>
      </c>
      <c r="AC91" s="310">
        <v>3.4752777777777801</v>
      </c>
      <c r="AD91" s="310">
        <v>4.3088888888888883</v>
      </c>
      <c r="AE91" s="310">
        <v>4.7540277777777744</v>
      </c>
      <c r="AF91" s="310">
        <v>3.9043055555555566</v>
      </c>
      <c r="AG91" s="310">
        <v>3.2615277777777814</v>
      </c>
      <c r="AH91" s="310">
        <v>1.0438888888888878</v>
      </c>
      <c r="AI91" s="310">
        <v>2.8159722222222237</v>
      </c>
      <c r="AJ91" s="310">
        <v>3.5812499999999989</v>
      </c>
      <c r="AK91" s="310">
        <v>4.2881944444444429</v>
      </c>
      <c r="AL91" s="310">
        <v>4.3084722222222291</v>
      </c>
      <c r="AM91" s="310">
        <v>4.5413888888888909</v>
      </c>
      <c r="AN91" s="310">
        <v>5.7576388888888879</v>
      </c>
      <c r="AO91" s="310">
        <v>4.5868055555555527</v>
      </c>
      <c r="AP91" s="310">
        <v>3.8643055555555539</v>
      </c>
      <c r="AQ91" s="310">
        <v>5.9108333333333372</v>
      </c>
      <c r="AR91" s="310">
        <v>3.7583333333333351</v>
      </c>
      <c r="AS91" s="310">
        <v>6.1469444444444532</v>
      </c>
      <c r="AT91" s="310">
        <v>3.5084722222222227</v>
      </c>
      <c r="AU91" s="310">
        <v>3.3216666666666663</v>
      </c>
      <c r="AV91" s="310">
        <v>3.6568055555555552</v>
      </c>
      <c r="AW91" s="310">
        <v>4.3504166666666659</v>
      </c>
      <c r="AX91" s="310">
        <v>4.5713888888888867</v>
      </c>
      <c r="AY91" s="310">
        <v>4.2979166666666657</v>
      </c>
      <c r="AZ91" s="310">
        <v>1.0936111111111113</v>
      </c>
      <c r="BA91" s="310">
        <v>4.5745833333333303</v>
      </c>
      <c r="BB91" s="310">
        <v>1.2331944444444438</v>
      </c>
      <c r="BC91" s="310">
        <v>2.8887500000000039</v>
      </c>
      <c r="BD91" s="310">
        <v>4.1502777777777791</v>
      </c>
      <c r="BE91" s="310">
        <v>4.3330555555555588</v>
      </c>
      <c r="BF91" s="310">
        <v>4.8462500000000022</v>
      </c>
      <c r="BG91" s="310">
        <v>0.38277777777777805</v>
      </c>
      <c r="BH91" s="310">
        <v>-0.85361111111111176</v>
      </c>
      <c r="BI91" s="310">
        <v>3.8373611111111114</v>
      </c>
      <c r="BJ91" s="310">
        <v>6.143888888888891</v>
      </c>
      <c r="BK91" s="310">
        <v>4.6559722222222222</v>
      </c>
      <c r="BL91" s="310">
        <v>4.4397222222222243</v>
      </c>
      <c r="BM91" s="310">
        <v>3.0687500000000014</v>
      </c>
      <c r="BN91" s="310">
        <v>4.2977777777777764</v>
      </c>
      <c r="BO91" s="310">
        <v>4.2691666666666679</v>
      </c>
      <c r="BP91" s="310">
        <v>5.9326388888888868</v>
      </c>
      <c r="BQ91" s="310">
        <v>2.0905555555555537</v>
      </c>
      <c r="BR91" s="310">
        <v>4.5315277777777716</v>
      </c>
      <c r="BS91" s="310">
        <v>4.2105555555555538</v>
      </c>
      <c r="BT91" s="310">
        <v>1.1702777777777773</v>
      </c>
      <c r="BU91" s="310">
        <v>-8.7361111111111098E-2</v>
      </c>
      <c r="BV91" s="310">
        <v>3.7511111111111082</v>
      </c>
      <c r="BW91" s="310">
        <v>6.206250000000006</v>
      </c>
      <c r="BX91" s="310">
        <v>-1.5640277777777776</v>
      </c>
      <c r="BY91" s="310">
        <v>4.7588888888888912</v>
      </c>
      <c r="BZ91" s="310">
        <v>4.2155555555555591</v>
      </c>
      <c r="CA91" s="310">
        <v>4.19569444444444</v>
      </c>
      <c r="CB91" s="310">
        <v>3.5520833333333326</v>
      </c>
      <c r="CC91" s="310">
        <v>4.2720833333333381</v>
      </c>
      <c r="CD91" s="310">
        <v>4.5452777777777857</v>
      </c>
      <c r="CE91" s="310">
        <v>3.8272222222222241</v>
      </c>
      <c r="CF91" s="310">
        <v>4.3090277777777812</v>
      </c>
      <c r="CG91" s="310">
        <v>4.5141666666666698</v>
      </c>
      <c r="CH91" s="310">
        <v>3.1597222222222223</v>
      </c>
      <c r="CI91" s="310">
        <v>3.3737500000000011</v>
      </c>
      <c r="CJ91" s="310">
        <v>5.5438888888888878</v>
      </c>
      <c r="CK91" s="310">
        <v>4.8286111111111074</v>
      </c>
      <c r="CL91" s="310">
        <v>6.1477777777777698</v>
      </c>
      <c r="CM91" s="310">
        <v>4.6305555555555591</v>
      </c>
      <c r="CN91" s="310">
        <v>5.179861111111113</v>
      </c>
      <c r="CO91" s="310">
        <v>5.1909722222222259</v>
      </c>
      <c r="CP91" s="310">
        <v>7.4444444444444507E-2</v>
      </c>
      <c r="CQ91" s="310">
        <v>1.8505555555555588</v>
      </c>
      <c r="CR91" s="310">
        <v>4.8329166666666712</v>
      </c>
      <c r="CS91" s="310">
        <v>3.8005555555555568</v>
      </c>
      <c r="CT91" s="310">
        <v>0.99902777777777774</v>
      </c>
      <c r="CU91" s="310">
        <v>4.7984722222222214</v>
      </c>
      <c r="CV91" s="310">
        <v>-2.079861111111112</v>
      </c>
      <c r="CW91" s="310">
        <v>4.5869444444444429</v>
      </c>
      <c r="CX91" s="310">
        <v>5.2824999999999971</v>
      </c>
      <c r="CY91" s="310">
        <v>3.6629166666666655</v>
      </c>
      <c r="CZ91" s="310">
        <v>5.4006944444444525</v>
      </c>
      <c r="DA91" s="310">
        <v>4.6233333333333322</v>
      </c>
      <c r="DB91" s="310">
        <v>4.3783333333333267</v>
      </c>
      <c r="DC91" s="310">
        <v>4.2988888888888903</v>
      </c>
      <c r="DD91" s="310">
        <v>4.7002777777777727</v>
      </c>
      <c r="DE91" s="310">
        <v>-1.5275000000000003</v>
      </c>
      <c r="DF91" s="310">
        <v>3.8894444444444471</v>
      </c>
      <c r="DG91" s="310">
        <v>5.3531944444444433</v>
      </c>
      <c r="DH91" s="310">
        <v>4.1598611111111126</v>
      </c>
      <c r="DI91" s="310">
        <v>3.0009722222222215</v>
      </c>
      <c r="DJ91" s="310">
        <v>3.0141666666666675</v>
      </c>
      <c r="DK91" s="310">
        <v>5.6144444444444463</v>
      </c>
      <c r="DL91" s="310">
        <v>4.1966666666666681</v>
      </c>
      <c r="DM91" s="310">
        <v>4.4523611111111103</v>
      </c>
      <c r="DN91" s="310">
        <v>5.8577777777777733</v>
      </c>
      <c r="DO91" s="310">
        <v>4.6670833333333341</v>
      </c>
      <c r="DP91" s="310">
        <v>5.5866666666666651</v>
      </c>
      <c r="DQ91" s="310">
        <v>-0.58819444444444369</v>
      </c>
      <c r="DR91" s="310">
        <v>6.1586111111111146</v>
      </c>
      <c r="DS91" s="310">
        <v>4.5358333333333309</v>
      </c>
      <c r="DT91" s="310">
        <v>5.4923611111111104</v>
      </c>
      <c r="DU91" s="310">
        <v>6.2561111111111103</v>
      </c>
      <c r="DV91" s="310">
        <v>4.1813888888888879</v>
      </c>
      <c r="DW91" s="310">
        <v>4.2906944444444441</v>
      </c>
      <c r="DX91" s="310">
        <v>3.0059722222222232</v>
      </c>
      <c r="DY91" s="310">
        <v>4.9990277777777816</v>
      </c>
      <c r="DZ91" s="310">
        <v>4.120416666666662</v>
      </c>
      <c r="EA91" s="310">
        <v>4.7145833333333247</v>
      </c>
      <c r="EB91" s="310">
        <v>4.6797222222222219</v>
      </c>
      <c r="EC91" s="310">
        <v>4.9612499999999971</v>
      </c>
      <c r="ED91" s="310">
        <v>3.9543055555555546</v>
      </c>
      <c r="EE91" s="310">
        <v>5.0440277777777753</v>
      </c>
      <c r="EF91" s="310">
        <v>4.4451388888888879</v>
      </c>
      <c r="EG91" s="310">
        <v>3.0240277777777811</v>
      </c>
      <c r="EH91" s="310">
        <v>6.3675000000000059</v>
      </c>
      <c r="EI91" s="310">
        <v>3.2202777777777793</v>
      </c>
      <c r="EJ91" s="310">
        <v>1.4772222222222215</v>
      </c>
      <c r="EK91" s="310">
        <v>6.1591666666666676</v>
      </c>
      <c r="EL91" s="310">
        <v>1.3876388888888878</v>
      </c>
      <c r="EM91" s="310">
        <v>5.8279166666666633</v>
      </c>
      <c r="EN91" s="310">
        <v>4.0220833333333363</v>
      </c>
      <c r="EO91" s="310">
        <v>6.3019444444444437</v>
      </c>
      <c r="EP91" s="310">
        <v>2.0598611111111094</v>
      </c>
      <c r="EQ91" s="310">
        <v>0.14541666666666636</v>
      </c>
      <c r="ER91" s="310">
        <v>4.7447222222222205</v>
      </c>
      <c r="ES91" s="310">
        <v>4.7472222222222245</v>
      </c>
      <c r="ET91" s="310">
        <v>4.9769444444444435</v>
      </c>
      <c r="EU91" s="310">
        <v>4.4506944444444416</v>
      </c>
      <c r="EV91" s="310">
        <v>3.3499999999999988</v>
      </c>
      <c r="EW91" s="310">
        <v>4.606111111111109</v>
      </c>
      <c r="EX91" s="310">
        <v>4.9256944444444457</v>
      </c>
      <c r="EY91" s="310">
        <v>3.4793055555555554</v>
      </c>
      <c r="EZ91" s="310">
        <v>4.2126388888888915</v>
      </c>
      <c r="FA91" s="310">
        <v>5.8566666666666709</v>
      </c>
      <c r="FB91" s="310">
        <v>4.6295833333333256</v>
      </c>
      <c r="FC91" s="310">
        <v>4.8752777777777823</v>
      </c>
      <c r="FD91" s="310">
        <v>4.7937500000000011</v>
      </c>
      <c r="FE91" s="310">
        <v>3.8177777777777759</v>
      </c>
      <c r="FF91" s="310">
        <v>3.8659722222222235</v>
      </c>
      <c r="FG91" s="310">
        <v>3.3931944444444455</v>
      </c>
      <c r="FH91" s="310">
        <v>2.6247222222222217</v>
      </c>
      <c r="FI91" s="310">
        <v>4.7206944444444456</v>
      </c>
      <c r="FJ91" s="310">
        <v>3.9548611111111094</v>
      </c>
      <c r="FK91" s="310">
        <v>0.9034722222222229</v>
      </c>
      <c r="FL91" s="310">
        <v>4.5663999999999998</v>
      </c>
      <c r="FM91" s="310">
        <v>4.361666666666669</v>
      </c>
      <c r="FN91" s="310">
        <v>4.7440277777777773</v>
      </c>
      <c r="FO91" s="310">
        <v>4.3422222222222251</v>
      </c>
      <c r="FP91" s="310">
        <v>3.2972222222222247</v>
      </c>
      <c r="FQ91" s="310">
        <v>3.4122222222222192</v>
      </c>
      <c r="FR91" s="310">
        <v>4.9765277777777781</v>
      </c>
      <c r="FS91" s="310">
        <v>3.0761111111111084</v>
      </c>
      <c r="FT91" s="310">
        <v>5.5109722222222226</v>
      </c>
      <c r="FU91" s="310">
        <v>4.6995833333333374</v>
      </c>
      <c r="FV91" s="310">
        <v>4.5324999999999935</v>
      </c>
      <c r="FW91" s="310">
        <v>4.8775000000000004</v>
      </c>
      <c r="FX91" s="310">
        <v>0.80708333333333415</v>
      </c>
      <c r="FY91" s="310">
        <v>5.5081944444444435</v>
      </c>
      <c r="FZ91" s="310">
        <v>1.881111111111111</v>
      </c>
      <c r="GA91" s="310">
        <v>-2.4734722222222225</v>
      </c>
      <c r="GB91" s="310">
        <v>2.2601388888888874</v>
      </c>
      <c r="GC91" s="310">
        <v>5.2515277777777793</v>
      </c>
      <c r="GD91" s="310">
        <v>2.9629166666666662</v>
      </c>
      <c r="GE91" s="310">
        <v>3.7793055555555566</v>
      </c>
      <c r="GF91" s="310">
        <v>4.6287500000000081</v>
      </c>
      <c r="GG91" s="310">
        <v>3.9033333333333347</v>
      </c>
      <c r="GH91" s="310">
        <v>4.265833333333334</v>
      </c>
      <c r="GI91" s="310">
        <v>5.2952777777777822</v>
      </c>
      <c r="GJ91" s="310">
        <v>5.3574999999999964</v>
      </c>
      <c r="GK91" s="310">
        <v>4.4909722222222239</v>
      </c>
      <c r="GL91" s="310">
        <v>2.254305555555554</v>
      </c>
      <c r="GM91" s="310">
        <v>3.7797222222222224</v>
      </c>
      <c r="GN91" s="310">
        <v>5.4598611111111133</v>
      </c>
      <c r="GO91" s="310">
        <v>3.7441666666666618</v>
      </c>
      <c r="GP91" s="310">
        <v>4.0801388888888903</v>
      </c>
      <c r="GQ91" s="310">
        <v>3.5090277777777747</v>
      </c>
      <c r="GR91" s="310">
        <v>2.3754166666666641</v>
      </c>
      <c r="GS91" s="310">
        <v>4.6673611111111093</v>
      </c>
      <c r="GT91" s="310">
        <v>4.9315277777777773</v>
      </c>
      <c r="GU91" s="310">
        <v>0.30458333333333298</v>
      </c>
      <c r="GV91" s="310">
        <v>5.9941666666666595</v>
      </c>
      <c r="GW91" s="310">
        <v>6.0518055555555605</v>
      </c>
      <c r="GX91" s="310">
        <v>5.4516666666666662</v>
      </c>
      <c r="GY91" s="310">
        <v>4.8669444444444503</v>
      </c>
      <c r="GZ91" s="310">
        <v>4.962361111111111</v>
      </c>
      <c r="HA91" s="310">
        <v>3.596666666666668</v>
      </c>
      <c r="HB91" s="310">
        <v>-1.2143055555555542</v>
      </c>
      <c r="HC91" s="310">
        <v>0.40527777777777774</v>
      </c>
      <c r="HD91" s="310">
        <v>4.2947222222222203</v>
      </c>
      <c r="HE91" s="310">
        <v>5.6480555555555556</v>
      </c>
      <c r="HF91" s="310">
        <v>1.0045833333333332</v>
      </c>
      <c r="HG91" s="310">
        <v>4.9052777777777772</v>
      </c>
      <c r="HH91" s="310">
        <v>3.5370833333333351</v>
      </c>
      <c r="HI91" s="310">
        <v>3.7168055555555579</v>
      </c>
      <c r="HJ91" s="310">
        <v>4.0250000000000012</v>
      </c>
      <c r="HK91" s="310">
        <v>5.7908333333333379</v>
      </c>
      <c r="HL91" s="310">
        <v>5.7130555555555542</v>
      </c>
      <c r="HM91" s="310">
        <v>1.2291666666666676</v>
      </c>
      <c r="HN91" s="310">
        <v>3.9022222222222176</v>
      </c>
      <c r="HO91" s="310">
        <v>1.1112500000000007</v>
      </c>
      <c r="HP91" s="310">
        <v>4.8825000000000056</v>
      </c>
      <c r="HQ91" s="310">
        <v>4.5601388888888916</v>
      </c>
      <c r="HR91" s="310">
        <v>0.75624999999999909</v>
      </c>
      <c r="HS91" s="310">
        <v>-0.23513888888888868</v>
      </c>
      <c r="HT91" s="310">
        <v>3.6508333333333312</v>
      </c>
      <c r="HU91" s="310">
        <v>3.5437500000000011</v>
      </c>
      <c r="HV91" s="310">
        <v>3.8947222222222195</v>
      </c>
      <c r="HW91" s="310">
        <v>4.6545833333333357</v>
      </c>
      <c r="HX91" s="310">
        <v>4.4924999999999997</v>
      </c>
      <c r="HY91" s="310">
        <v>5.6438888888888865</v>
      </c>
      <c r="HZ91" s="310">
        <v>5.2316666666666736</v>
      </c>
      <c r="IA91" s="310">
        <v>4.2861111111111097</v>
      </c>
      <c r="IB91" s="310">
        <v>3.8459722222222266</v>
      </c>
      <c r="IC91" s="310">
        <v>3.7955999999999999</v>
      </c>
      <c r="ID91" s="310">
        <v>3.266527777777779</v>
      </c>
      <c r="IE91" s="310">
        <v>4.517499999999993</v>
      </c>
      <c r="IF91" s="310">
        <v>6.0565277777777773</v>
      </c>
      <c r="IG91" s="310">
        <v>5.2047222222222196</v>
      </c>
      <c r="IH91" s="310">
        <v>3.4027777777777759</v>
      </c>
      <c r="II91" s="310">
        <v>4.7709999999999999</v>
      </c>
      <c r="IJ91" s="310">
        <v>3.7522222222222195</v>
      </c>
      <c r="IK91" s="310">
        <v>3.9937500000000008</v>
      </c>
      <c r="IL91" s="310">
        <v>5.8411111111111076</v>
      </c>
      <c r="IM91" s="310">
        <v>4.8816666666666624</v>
      </c>
      <c r="IN91" s="310">
        <v>4.5477777777777817</v>
      </c>
      <c r="IO91" s="310">
        <v>4.5212500000000029</v>
      </c>
      <c r="IP91" s="310">
        <v>4.57125</v>
      </c>
      <c r="IQ91" s="310">
        <v>-1.1105555555555562</v>
      </c>
      <c r="IR91" s="310">
        <v>3.778472222222224</v>
      </c>
      <c r="IS91" s="310">
        <v>4.470833333333335</v>
      </c>
      <c r="IT91" s="310">
        <v>5.2331944444444449</v>
      </c>
      <c r="IU91" s="310">
        <v>4.7441666666666622</v>
      </c>
      <c r="IV91" s="310">
        <v>3.528611111111108</v>
      </c>
      <c r="IW91" s="310">
        <v>3.8404166666666653</v>
      </c>
      <c r="IX91" s="310">
        <v>4.5052777777777777</v>
      </c>
      <c r="IY91" s="310">
        <v>4.3859722222222235</v>
      </c>
      <c r="IZ91" s="310">
        <v>4.3149999999999951</v>
      </c>
      <c r="JA91" s="310">
        <v>4.5754166666666611</v>
      </c>
      <c r="JB91" s="310">
        <v>3.7051388888888903</v>
      </c>
      <c r="JC91" s="310">
        <v>4.6615277777777813</v>
      </c>
      <c r="JD91" s="310">
        <v>3.8905555555555567</v>
      </c>
      <c r="JE91" s="310">
        <v>2.5563888888888906</v>
      </c>
      <c r="JF91" s="310">
        <v>4.6869444444444452</v>
      </c>
      <c r="JG91" s="310">
        <v>5.9655555555555537</v>
      </c>
      <c r="JH91" s="310">
        <v>3.6686111111111117</v>
      </c>
      <c r="JI91" s="310">
        <v>0.56680555555555545</v>
      </c>
      <c r="JJ91" s="310">
        <v>4.1505555555555578</v>
      </c>
      <c r="JK91" s="310">
        <v>1.7662499999999988</v>
      </c>
      <c r="JL91" s="310">
        <v>4.4718055555555543</v>
      </c>
      <c r="JM91" s="310">
        <v>4.628333333333341</v>
      </c>
      <c r="JN91" s="310">
        <v>4.2997222222222193</v>
      </c>
      <c r="JO91" s="310">
        <v>4.8825000000000038</v>
      </c>
      <c r="JP91" s="310">
        <v>2.0347222222222263</v>
      </c>
      <c r="JQ91" s="310">
        <v>4.483194444444444</v>
      </c>
      <c r="JR91" s="310">
        <v>4.2645833333333334</v>
      </c>
      <c r="JS91" s="310">
        <v>4.9345833333333351</v>
      </c>
      <c r="JT91" s="310">
        <v>4.44569444444444</v>
      </c>
      <c r="JU91" s="310">
        <v>4.3347222222222239</v>
      </c>
      <c r="JV91" s="310">
        <v>3.6773611111111122</v>
      </c>
      <c r="JW91" s="310">
        <v>5.4776388888888894</v>
      </c>
      <c r="JX91" s="310">
        <v>4.7175000000000091</v>
      </c>
      <c r="JY91" s="310">
        <v>2.1311111111111121</v>
      </c>
      <c r="JZ91" s="310">
        <v>2.7777777777844819E-4</v>
      </c>
      <c r="KA91" s="310">
        <v>3.7919444444444488</v>
      </c>
      <c r="KB91" s="310">
        <v>3.6583333333333332</v>
      </c>
      <c r="KC91" s="310">
        <v>4.1494444444444412</v>
      </c>
      <c r="KD91" s="310">
        <v>4.2116666666666642</v>
      </c>
      <c r="KE91" s="310">
        <v>2.098055555555558</v>
      </c>
      <c r="KF91" s="310">
        <v>1.6245833333333337</v>
      </c>
      <c r="KG91" s="310">
        <v>5.8444444444444432</v>
      </c>
      <c r="KH91" s="310">
        <v>6.3523611111111098</v>
      </c>
      <c r="KI91" s="310">
        <v>4.2163888888888925</v>
      </c>
      <c r="KJ91" s="310">
        <v>4.7825000000000015</v>
      </c>
      <c r="KK91" s="310">
        <v>4.8372222222222261</v>
      </c>
      <c r="KL91" s="310">
        <v>2.8041666666666671</v>
      </c>
      <c r="KM91" s="310">
        <v>1.2770833333333347</v>
      </c>
      <c r="KN91" s="310">
        <v>4.2862500000000061</v>
      </c>
      <c r="KO91" s="310">
        <v>3.6223611111111116</v>
      </c>
      <c r="KP91" s="310">
        <v>2.5666666666666664</v>
      </c>
      <c r="KQ91" s="310">
        <v>1.6058333333333326</v>
      </c>
      <c r="KR91" s="310">
        <v>1.6437500000000023</v>
      </c>
    </row>
    <row r="92" spans="1:304" x14ac:dyDescent="0.25">
      <c r="A92" s="310">
        <v>2021</v>
      </c>
      <c r="B92" s="310">
        <v>5</v>
      </c>
      <c r="C92" s="310">
        <v>1.7061827956989239</v>
      </c>
      <c r="D92" s="310">
        <v>10.187096774193543</v>
      </c>
      <c r="E92" s="310">
        <v>10.197446236559134</v>
      </c>
      <c r="F92" s="310">
        <v>10.062499999999996</v>
      </c>
      <c r="G92" s="310">
        <v>10.125672043010761</v>
      </c>
      <c r="H92" s="310">
        <v>10.352553763440874</v>
      </c>
      <c r="I92" s="310">
        <v>3.9174731182795686</v>
      </c>
      <c r="J92" s="310">
        <v>4.4866935483870947</v>
      </c>
      <c r="K92" s="310">
        <v>9.5994623655913998</v>
      </c>
      <c r="L92" s="310">
        <v>10.000403225806451</v>
      </c>
      <c r="M92" s="310">
        <v>9.2461021505376291</v>
      </c>
      <c r="N92" s="310">
        <v>9.9641129032258071</v>
      </c>
      <c r="O92" s="310">
        <v>7.1455645161290287</v>
      </c>
      <c r="P92" s="310">
        <v>10.655241935483875</v>
      </c>
      <c r="Q92" s="310">
        <v>6.7204301075268793</v>
      </c>
      <c r="R92" s="310">
        <v>9.8284946236559172</v>
      </c>
      <c r="S92" s="310">
        <v>8.5138440860215052</v>
      </c>
      <c r="T92" s="310">
        <v>9.9024193548387061</v>
      </c>
      <c r="U92" s="310">
        <v>8.8879999999999999</v>
      </c>
      <c r="V92" s="310">
        <v>9.6196236559139781</v>
      </c>
      <c r="W92" s="310">
        <v>9.7208333333333332</v>
      </c>
      <c r="X92" s="310">
        <v>10.24556451612904</v>
      </c>
      <c r="Y92" s="310">
        <v>10.247983870967747</v>
      </c>
      <c r="Z92" s="310">
        <v>7.3868279569892472</v>
      </c>
      <c r="AA92" s="310">
        <v>11.228494623655909</v>
      </c>
      <c r="AB92" s="310">
        <v>10.451209677419348</v>
      </c>
      <c r="AC92" s="310">
        <v>9.329032258064526</v>
      </c>
      <c r="AD92" s="310">
        <v>9.6696236559139841</v>
      </c>
      <c r="AE92" s="310">
        <v>10.137231182795707</v>
      </c>
      <c r="AF92" s="310">
        <v>9.7903225806451672</v>
      </c>
      <c r="AG92" s="310">
        <v>8.3711021505376326</v>
      </c>
      <c r="AH92" s="310">
        <v>6.8125000000000036</v>
      </c>
      <c r="AI92" s="310">
        <v>8.2979838709677534</v>
      </c>
      <c r="AJ92" s="310">
        <v>9.7391129032258075</v>
      </c>
      <c r="AK92" s="310">
        <v>10.062096774193545</v>
      </c>
      <c r="AL92" s="310">
        <v>9.7418010752688264</v>
      </c>
      <c r="AM92" s="310">
        <v>10.217338709677417</v>
      </c>
      <c r="AN92" s="310">
        <v>10.90201612903226</v>
      </c>
      <c r="AO92" s="310">
        <v>10.186155913978489</v>
      </c>
      <c r="AP92" s="310">
        <v>9.2602150537634316</v>
      </c>
      <c r="AQ92" s="310">
        <v>10.485618279569898</v>
      </c>
      <c r="AR92" s="310">
        <v>9.8018817204301083</v>
      </c>
      <c r="AS92" s="310">
        <v>10.265322580645162</v>
      </c>
      <c r="AT92" s="310">
        <v>9.1099462365591393</v>
      </c>
      <c r="AU92" s="310">
        <v>9.301075268817204</v>
      </c>
      <c r="AV92" s="310">
        <v>9.418682795698917</v>
      </c>
      <c r="AW92" s="310">
        <v>10.298118279569886</v>
      </c>
      <c r="AX92" s="310">
        <v>10.147849462365597</v>
      </c>
      <c r="AY92" s="310">
        <v>10.125940860215049</v>
      </c>
      <c r="AZ92" s="310">
        <v>6.6233870967742012</v>
      </c>
      <c r="BA92" s="310">
        <v>9.8215053763440849</v>
      </c>
      <c r="BB92" s="310">
        <v>6.699731182795702</v>
      </c>
      <c r="BC92" s="310">
        <v>8.6454301075268845</v>
      </c>
      <c r="BD92" s="310">
        <v>9.8380376344085896</v>
      </c>
      <c r="BE92" s="310">
        <v>9.6481182795698874</v>
      </c>
      <c r="BF92" s="310">
        <v>10.273790322580654</v>
      </c>
      <c r="BG92" s="310">
        <v>6.1026881720430213</v>
      </c>
      <c r="BH92" s="310">
        <v>3.4014784946236563</v>
      </c>
      <c r="BI92" s="310">
        <v>8.6055107526881738</v>
      </c>
      <c r="BJ92" s="310">
        <v>10.553763440860216</v>
      </c>
      <c r="BK92" s="310">
        <v>10.45201612903225</v>
      </c>
      <c r="BL92" s="310">
        <v>9.9728494623655841</v>
      </c>
      <c r="BM92" s="310">
        <v>9.231182795698917</v>
      </c>
      <c r="BN92" s="310">
        <v>10.065591397849467</v>
      </c>
      <c r="BO92" s="310">
        <v>9.8895161290322662</v>
      </c>
      <c r="BP92" s="310">
        <v>10.724865591397842</v>
      </c>
      <c r="BQ92" s="310">
        <v>8.1669354838709634</v>
      </c>
      <c r="BR92" s="310">
        <v>9.2295698924731191</v>
      </c>
      <c r="BS92" s="310">
        <v>9.2064516129032157</v>
      </c>
      <c r="BT92" s="310">
        <v>6.1198924731182789</v>
      </c>
      <c r="BU92" s="310">
        <v>5.8611559139784957</v>
      </c>
      <c r="BV92" s="310">
        <v>9.1216397849462378</v>
      </c>
      <c r="BW92" s="310">
        <v>10.739247311827954</v>
      </c>
      <c r="BX92" s="310">
        <v>3.7534946236559104</v>
      </c>
      <c r="BY92" s="310">
        <v>9.9225806451612826</v>
      </c>
      <c r="BZ92" s="310">
        <v>10.089784946236545</v>
      </c>
      <c r="CA92" s="310">
        <v>9.4313172043010702</v>
      </c>
      <c r="CB92" s="310">
        <v>8.7361559139784948</v>
      </c>
      <c r="CC92" s="310">
        <v>10.101209677419362</v>
      </c>
      <c r="CD92" s="310">
        <v>9.7982526881720382</v>
      </c>
      <c r="CE92" s="310">
        <v>7.8772849462365651</v>
      </c>
      <c r="CF92" s="310">
        <v>10.104569892473112</v>
      </c>
      <c r="CG92" s="310">
        <v>9.988709677419358</v>
      </c>
      <c r="CH92" s="310">
        <v>9.1211021505376255</v>
      </c>
      <c r="CI92" s="310">
        <v>7.1720430107526836</v>
      </c>
      <c r="CJ92" s="310">
        <v>10.252419354838713</v>
      </c>
      <c r="CK92" s="310">
        <v>10.125806451612904</v>
      </c>
      <c r="CL92" s="310">
        <v>10.499596774193533</v>
      </c>
      <c r="CM92" s="310">
        <v>10.304301075268812</v>
      </c>
      <c r="CN92" s="310">
        <v>10.485483870967734</v>
      </c>
      <c r="CO92" s="310">
        <v>10.528091397849456</v>
      </c>
      <c r="CP92" s="310">
        <v>4.5071236559139809</v>
      </c>
      <c r="CQ92" s="310">
        <v>7.9801075268817314</v>
      </c>
      <c r="CR92" s="310">
        <v>10.265994623655912</v>
      </c>
      <c r="CS92" s="310">
        <v>10.080913978494639</v>
      </c>
      <c r="CT92" s="310">
        <v>5.8810483870967714</v>
      </c>
      <c r="CU92" s="310">
        <v>10.04341397849462</v>
      </c>
      <c r="CV92" s="310">
        <v>2.2994623655913986</v>
      </c>
      <c r="CW92" s="310">
        <v>9.5606182795698995</v>
      </c>
      <c r="CX92" s="310">
        <v>9.907795698924728</v>
      </c>
      <c r="CY92" s="310">
        <v>9.5331989247311846</v>
      </c>
      <c r="CZ92" s="310">
        <v>10.353897849462362</v>
      </c>
      <c r="DA92" s="310">
        <v>9.7830645161290306</v>
      </c>
      <c r="DB92" s="310">
        <v>10.112634408602142</v>
      </c>
      <c r="DC92" s="310">
        <v>10.033602150537622</v>
      </c>
      <c r="DD92" s="310">
        <v>9.9668010752688012</v>
      </c>
      <c r="DE92" s="310">
        <v>2.4793010752688178</v>
      </c>
      <c r="DF92" s="310">
        <v>9.9311827956989376</v>
      </c>
      <c r="DG92" s="310">
        <v>10.512903225806452</v>
      </c>
      <c r="DH92" s="310">
        <v>9.8228494623655944</v>
      </c>
      <c r="DI92" s="310">
        <v>8.9344086021505422</v>
      </c>
      <c r="DJ92" s="310">
        <v>7.94462365591398</v>
      </c>
      <c r="DK92" s="310">
        <v>10.436827956989248</v>
      </c>
      <c r="DL92" s="310">
        <v>9.6993279569892561</v>
      </c>
      <c r="DM92" s="310">
        <v>10.126747311827955</v>
      </c>
      <c r="DN92" s="310">
        <v>10.316935483870964</v>
      </c>
      <c r="DO92" s="310">
        <v>10.285887096774188</v>
      </c>
      <c r="DP92" s="310">
        <v>10.259946236559134</v>
      </c>
      <c r="DQ92" s="310">
        <v>3.3879032258064523</v>
      </c>
      <c r="DR92" s="310">
        <v>11.105779569892464</v>
      </c>
      <c r="DS92" s="310">
        <v>10.139112903225802</v>
      </c>
      <c r="DT92" s="310">
        <v>10.494892473118284</v>
      </c>
      <c r="DU92" s="310">
        <v>10.838037634408604</v>
      </c>
      <c r="DV92" s="310">
        <v>10.058333333333334</v>
      </c>
      <c r="DW92" s="310">
        <v>9.9220430107527058</v>
      </c>
      <c r="DX92" s="310">
        <v>8.7643817204301122</v>
      </c>
      <c r="DY92" s="310">
        <v>10.047446236559137</v>
      </c>
      <c r="DZ92" s="310">
        <v>10.005645161290312</v>
      </c>
      <c r="EA92" s="310">
        <v>10.013440860215052</v>
      </c>
      <c r="EB92" s="310">
        <v>10.640188172043</v>
      </c>
      <c r="EC92" s="310">
        <v>10.111827956989249</v>
      </c>
      <c r="ED92" s="310">
        <v>9.6529569892473113</v>
      </c>
      <c r="EE92" s="310">
        <v>10.569354838709668</v>
      </c>
      <c r="EF92" s="310">
        <v>10.080107526881731</v>
      </c>
      <c r="EG92" s="310">
        <v>8.5327956989247262</v>
      </c>
      <c r="EH92" s="310">
        <v>11.248924731182784</v>
      </c>
      <c r="EI92" s="310">
        <v>8.9422043010752681</v>
      </c>
      <c r="EJ92" s="310">
        <v>6.2098118279569938</v>
      </c>
      <c r="EK92" s="310">
        <v>11.210483870967742</v>
      </c>
      <c r="EL92" s="310">
        <v>6.996370967741937</v>
      </c>
      <c r="EM92" s="310">
        <v>10.085080645161288</v>
      </c>
      <c r="EN92" s="310">
        <v>10.185080645161289</v>
      </c>
      <c r="EO92" s="310">
        <v>11.087768817204299</v>
      </c>
      <c r="EP92" s="310">
        <v>8.0456989247311714</v>
      </c>
      <c r="EQ92" s="310">
        <v>5.3439516129032274</v>
      </c>
      <c r="ER92" s="310">
        <v>10.328629032258064</v>
      </c>
      <c r="ES92" s="310">
        <v>10.059946236559149</v>
      </c>
      <c r="ET92" s="310">
        <v>9.8180107526881724</v>
      </c>
      <c r="EU92" s="310">
        <v>10.441263440860213</v>
      </c>
      <c r="EV92" s="310">
        <v>9.0397849462365691</v>
      </c>
      <c r="EW92" s="310">
        <v>10.198521505376354</v>
      </c>
      <c r="EX92" s="310">
        <v>9.9693548387096822</v>
      </c>
      <c r="EY92" s="310">
        <v>9.4689516129032238</v>
      </c>
      <c r="EZ92" s="310">
        <v>9.9454301075268834</v>
      </c>
      <c r="FA92" s="310">
        <v>10.410887096774184</v>
      </c>
      <c r="FB92" s="310">
        <v>10.107930107526885</v>
      </c>
      <c r="FC92" s="310">
        <v>9.9182795698924693</v>
      </c>
      <c r="FD92" s="310">
        <v>10.040322580645162</v>
      </c>
      <c r="FE92" s="310">
        <v>9.5017473118279643</v>
      </c>
      <c r="FF92" s="310">
        <v>9.2432795698924739</v>
      </c>
      <c r="FG92" s="310">
        <v>7.8501344086021554</v>
      </c>
      <c r="FH92" s="310">
        <v>7.1259408602150502</v>
      </c>
      <c r="FI92" s="310">
        <v>10.245430107526882</v>
      </c>
      <c r="FJ92" s="310">
        <v>9.2326612903225769</v>
      </c>
      <c r="FK92" s="310">
        <v>6.1118279569892469</v>
      </c>
      <c r="FL92" s="310">
        <v>10.157299999999999</v>
      </c>
      <c r="FM92" s="310">
        <v>9.767338709677432</v>
      </c>
      <c r="FN92" s="310">
        <v>9.7286290322580644</v>
      </c>
      <c r="FO92" s="310">
        <v>8.8043010752688176</v>
      </c>
      <c r="FP92" s="310">
        <v>9.5827956989247394</v>
      </c>
      <c r="FQ92" s="310">
        <v>8.3206989247311913</v>
      </c>
      <c r="FR92" s="310">
        <v>10.018145161290327</v>
      </c>
      <c r="FS92" s="310">
        <v>8.7926075268817172</v>
      </c>
      <c r="FT92" s="310">
        <v>10.11693548387098</v>
      </c>
      <c r="FU92" s="310">
        <v>10.066801075268824</v>
      </c>
      <c r="FV92" s="310">
        <v>9.8948924731182792</v>
      </c>
      <c r="FW92" s="310">
        <v>9.3513440860215056</v>
      </c>
      <c r="FX92" s="310">
        <v>4.5348118279569896</v>
      </c>
      <c r="FY92" s="310">
        <v>10.286962365591393</v>
      </c>
      <c r="FZ92" s="310">
        <v>6.517741935483861</v>
      </c>
      <c r="GA92" s="310">
        <v>1.9266129032258064</v>
      </c>
      <c r="GB92" s="310">
        <v>6.7485215053763499</v>
      </c>
      <c r="GC92" s="310">
        <v>10.116397849462359</v>
      </c>
      <c r="GD92" s="310">
        <v>8.6919354838709637</v>
      </c>
      <c r="GE92" s="310">
        <v>9.2877688172042951</v>
      </c>
      <c r="GF92" s="310">
        <v>10.015860215053769</v>
      </c>
      <c r="GG92" s="310">
        <v>9.0705645161290356</v>
      </c>
      <c r="GH92" s="310">
        <v>9.8577956989247397</v>
      </c>
      <c r="GI92" s="310">
        <v>9.7342741935483819</v>
      </c>
      <c r="GJ92" s="310">
        <v>10.498521505376335</v>
      </c>
      <c r="GK92" s="310">
        <v>10.404032258064527</v>
      </c>
      <c r="GL92" s="310">
        <v>6.7306451612903251</v>
      </c>
      <c r="GM92" s="310">
        <v>9.3091397849462325</v>
      </c>
      <c r="GN92" s="310">
        <v>10.444086021505374</v>
      </c>
      <c r="GO92" s="310">
        <v>8.3364247311827917</v>
      </c>
      <c r="GP92" s="310">
        <v>10.136827956989249</v>
      </c>
      <c r="GQ92" s="310">
        <v>9.0713709677419363</v>
      </c>
      <c r="GR92" s="310">
        <v>8.2029569892473102</v>
      </c>
      <c r="GS92" s="310">
        <v>10.140322580645162</v>
      </c>
      <c r="GT92" s="310">
        <v>10.304032258064524</v>
      </c>
      <c r="GU92" s="310">
        <v>5.2517473118279563</v>
      </c>
      <c r="GV92" s="310">
        <v>9.9465053763440778</v>
      </c>
      <c r="GW92" s="310">
        <v>11.123521505376351</v>
      </c>
      <c r="GX92" s="310">
        <v>10.124731182795694</v>
      </c>
      <c r="GY92" s="310">
        <v>10.188709677419359</v>
      </c>
      <c r="GZ92" s="310">
        <v>10.347983870967743</v>
      </c>
      <c r="HA92" s="310">
        <v>9.5708333333333364</v>
      </c>
      <c r="HB92" s="310">
        <v>4.5278225806451635</v>
      </c>
      <c r="HC92" s="310">
        <v>5.5631720430107512</v>
      </c>
      <c r="HD92" s="310">
        <v>9.9455645161290231</v>
      </c>
      <c r="HE92" s="310">
        <v>10.349327956989256</v>
      </c>
      <c r="HF92" s="310">
        <v>6.811424731182802</v>
      </c>
      <c r="HG92" s="310">
        <v>10.303763440860214</v>
      </c>
      <c r="HH92" s="310">
        <v>7.8846774193548459</v>
      </c>
      <c r="HI92" s="310">
        <v>9.4219086021505341</v>
      </c>
      <c r="HJ92" s="310">
        <v>9.6360215053763412</v>
      </c>
      <c r="HK92" s="310">
        <v>10.724059139784943</v>
      </c>
      <c r="HL92" s="310">
        <v>10.795698924731173</v>
      </c>
      <c r="HM92" s="310">
        <v>7.2498655913978505</v>
      </c>
      <c r="HN92" s="310">
        <v>9.619758064516132</v>
      </c>
      <c r="HO92" s="310">
        <v>6.8712365591397875</v>
      </c>
      <c r="HP92" s="310">
        <v>10.16263440860215</v>
      </c>
      <c r="HQ92" s="310">
        <v>9.8352150537634362</v>
      </c>
      <c r="HR92" s="310">
        <v>6.6611559139784884</v>
      </c>
      <c r="HS92" s="310">
        <v>6.2369623655913982</v>
      </c>
      <c r="HT92" s="310">
        <v>8.9897849462365542</v>
      </c>
      <c r="HU92" s="310">
        <v>9.6420698924731258</v>
      </c>
      <c r="HV92" s="310">
        <v>7.7782258064516068</v>
      </c>
      <c r="HW92" s="310">
        <v>10.194623655913979</v>
      </c>
      <c r="HX92" s="310">
        <v>9.8572580645161292</v>
      </c>
      <c r="HY92" s="310">
        <v>10.049193548387098</v>
      </c>
      <c r="HZ92" s="310">
        <v>10.049865591397847</v>
      </c>
      <c r="IA92" s="310">
        <v>10.222311827956986</v>
      </c>
      <c r="IB92" s="310">
        <v>10.009139784946234</v>
      </c>
      <c r="IC92" s="310">
        <v>9.4139999999999997</v>
      </c>
      <c r="ID92" s="310">
        <v>7.9379032258064584</v>
      </c>
      <c r="IE92" s="310">
        <v>10.182930107526882</v>
      </c>
      <c r="IF92" s="310">
        <v>10.048118279569884</v>
      </c>
      <c r="IG92" s="310">
        <v>10.240053763440855</v>
      </c>
      <c r="IH92" s="310">
        <v>9.4473118279569928</v>
      </c>
      <c r="II92" s="310">
        <v>9.9930000000000003</v>
      </c>
      <c r="IJ92" s="310">
        <v>9.6622311827957006</v>
      </c>
      <c r="IK92" s="310">
        <v>10.19005376344086</v>
      </c>
      <c r="IL92" s="310">
        <v>10.527822580645164</v>
      </c>
      <c r="IM92" s="310">
        <v>10.184005376344084</v>
      </c>
      <c r="IN92" s="310">
        <v>9.3079301075268823</v>
      </c>
      <c r="IO92" s="310">
        <v>9.6061827956989276</v>
      </c>
      <c r="IP92" s="310">
        <v>10.004973118279572</v>
      </c>
      <c r="IQ92" s="310">
        <v>4.9712365591397862</v>
      </c>
      <c r="IR92" s="310">
        <v>9.4603494623655919</v>
      </c>
      <c r="IS92" s="310">
        <v>10.351478494623651</v>
      </c>
      <c r="IT92" s="310">
        <v>10.059543010752702</v>
      </c>
      <c r="IU92" s="310">
        <v>9.8674731182795767</v>
      </c>
      <c r="IV92" s="310">
        <v>9.51008064516129</v>
      </c>
      <c r="IW92" s="310">
        <v>9.2461021505376291</v>
      </c>
      <c r="IX92" s="310">
        <v>10.052150537634414</v>
      </c>
      <c r="IY92" s="310">
        <v>9.9184139784946197</v>
      </c>
      <c r="IZ92" s="310">
        <v>9.9887096774193598</v>
      </c>
      <c r="JA92" s="310">
        <v>9.8987903225806289</v>
      </c>
      <c r="JB92" s="310">
        <v>9.8508064516129039</v>
      </c>
      <c r="JC92" s="310">
        <v>9.9391129032258085</v>
      </c>
      <c r="JD92" s="310">
        <v>9.4665322580645199</v>
      </c>
      <c r="JE92" s="310">
        <v>8.5729838709677466</v>
      </c>
      <c r="JF92" s="310">
        <v>10.362500000000015</v>
      </c>
      <c r="JG92" s="310">
        <v>10.337768817204298</v>
      </c>
      <c r="JH92" s="310">
        <v>9.904032258064511</v>
      </c>
      <c r="JI92" s="310">
        <v>6.1748655913978538</v>
      </c>
      <c r="JJ92" s="310">
        <v>10.043817204301076</v>
      </c>
      <c r="JK92" s="310">
        <v>7.0973118279569922</v>
      </c>
      <c r="JL92" s="310">
        <v>10.161021505376356</v>
      </c>
      <c r="JM92" s="310">
        <v>10.028494623655913</v>
      </c>
      <c r="JN92" s="310">
        <v>9.9864247311827921</v>
      </c>
      <c r="JO92" s="310">
        <v>10.146370967741925</v>
      </c>
      <c r="JP92" s="310">
        <v>7.156989247311822</v>
      </c>
      <c r="JQ92" s="310">
        <v>9.5694892473118411</v>
      </c>
      <c r="JR92" s="310">
        <v>10.106317204301069</v>
      </c>
      <c r="JS92" s="310">
        <v>9.917204301075266</v>
      </c>
      <c r="JT92" s="310">
        <v>9.9709677419354854</v>
      </c>
      <c r="JU92" s="310">
        <v>10.220833333333333</v>
      </c>
      <c r="JV92" s="310">
        <v>9.7849462365591275</v>
      </c>
      <c r="JW92" s="310">
        <v>10.211155913978509</v>
      </c>
      <c r="JX92" s="310">
        <v>9.7586021505376337</v>
      </c>
      <c r="JY92" s="310">
        <v>8.3106182795698889</v>
      </c>
      <c r="JZ92" s="310">
        <v>5.6081989247311803</v>
      </c>
      <c r="KA92" s="310">
        <v>9.3932795698924796</v>
      </c>
      <c r="KB92" s="310">
        <v>9.8166666666666664</v>
      </c>
      <c r="KC92" s="310">
        <v>10.053225806451609</v>
      </c>
      <c r="KD92" s="310">
        <v>9.9572580645161359</v>
      </c>
      <c r="KE92" s="310">
        <v>7.9819892473118257</v>
      </c>
      <c r="KF92" s="310">
        <v>6.552822580645163</v>
      </c>
      <c r="KG92" s="310">
        <v>10.563306451612908</v>
      </c>
      <c r="KH92" s="310">
        <v>10.267607526881726</v>
      </c>
      <c r="KI92" s="310">
        <v>9.8517473118279604</v>
      </c>
      <c r="KJ92" s="310">
        <v>10.268279569892487</v>
      </c>
      <c r="KK92" s="310">
        <v>10.21102150537636</v>
      </c>
      <c r="KL92" s="310">
        <v>7.2607526881720394</v>
      </c>
      <c r="KM92" s="310">
        <v>7.0861559139784998</v>
      </c>
      <c r="KN92" s="310">
        <v>9.6244623655913948</v>
      </c>
      <c r="KO92" s="310">
        <v>9.0126344086021497</v>
      </c>
      <c r="KP92" s="310">
        <v>8.7615591397849446</v>
      </c>
      <c r="KQ92" s="310">
        <v>5.9721774193548374</v>
      </c>
      <c r="KR92" s="310">
        <v>5.8659946236559071</v>
      </c>
    </row>
    <row r="93" spans="1:304" s="315" customFormat="1" x14ac:dyDescent="0.25">
      <c r="A93" s="310">
        <v>2021</v>
      </c>
      <c r="B93" s="310">
        <v>6</v>
      </c>
      <c r="C93" s="316">
        <v>9.4561111111111167</v>
      </c>
      <c r="D93" s="316">
        <v>18.926111111111112</v>
      </c>
      <c r="E93" s="316">
        <v>16.507916666666681</v>
      </c>
      <c r="F93" s="316">
        <v>16.871944444444434</v>
      </c>
      <c r="G93" s="316">
        <v>17.50319444444445</v>
      </c>
      <c r="H93" s="316">
        <v>18.222916666666656</v>
      </c>
      <c r="I93" s="316">
        <v>12.829722222222227</v>
      </c>
      <c r="J93" s="316">
        <v>13.747083333333343</v>
      </c>
      <c r="K93" s="316">
        <v>16.826111111111118</v>
      </c>
      <c r="L93" s="316">
        <v>17.239305555555553</v>
      </c>
      <c r="M93" s="316">
        <v>17.206944444444446</v>
      </c>
      <c r="N93" s="316">
        <v>16.761388888888892</v>
      </c>
      <c r="O93" s="316">
        <v>14.810555555555567</v>
      </c>
      <c r="P93" s="316">
        <v>17.467638888888914</v>
      </c>
      <c r="Q93" s="316">
        <v>15.556527777777774</v>
      </c>
      <c r="R93" s="316">
        <v>16.635833333333331</v>
      </c>
      <c r="S93" s="316">
        <v>16.23319444444444</v>
      </c>
      <c r="T93" s="316">
        <v>18.325833333333343</v>
      </c>
      <c r="U93" s="316">
        <v>16.8538</v>
      </c>
      <c r="V93" s="316">
        <v>16.553611111111078</v>
      </c>
      <c r="W93" s="316">
        <v>18.264166666666672</v>
      </c>
      <c r="X93" s="316">
        <v>17.545555555555556</v>
      </c>
      <c r="Y93" s="316">
        <v>17.993472222222199</v>
      </c>
      <c r="Z93" s="316">
        <v>14.28847222222223</v>
      </c>
      <c r="AA93" s="316">
        <v>18.397916666666653</v>
      </c>
      <c r="AB93" s="316">
        <v>17.138888888888879</v>
      </c>
      <c r="AC93" s="316">
        <v>16.426388888888884</v>
      </c>
      <c r="AD93" s="316">
        <v>16.249583333333337</v>
      </c>
      <c r="AE93" s="316">
        <v>18.932777777777765</v>
      </c>
      <c r="AF93" s="316">
        <v>16.768472222222204</v>
      </c>
      <c r="AG93" s="316">
        <v>16.112777777777776</v>
      </c>
      <c r="AH93" s="316">
        <v>14.243055555555561</v>
      </c>
      <c r="AI93" s="316">
        <v>15.820694444444429</v>
      </c>
      <c r="AJ93" s="316">
        <v>17.432500000000005</v>
      </c>
      <c r="AK93" s="316">
        <v>18.122777777777792</v>
      </c>
      <c r="AL93" s="316">
        <v>18.092500000000012</v>
      </c>
      <c r="AM93" s="316">
        <v>18.407083333333325</v>
      </c>
      <c r="AN93" s="316">
        <v>17.816944444444445</v>
      </c>
      <c r="AO93" s="316">
        <v>16.868194444444448</v>
      </c>
      <c r="AP93" s="316">
        <v>17.296111111111099</v>
      </c>
      <c r="AQ93" s="316">
        <v>16.707500000000014</v>
      </c>
      <c r="AR93" s="316">
        <v>16.632916666666674</v>
      </c>
      <c r="AS93" s="316">
        <v>17.122361111111108</v>
      </c>
      <c r="AT93" s="316">
        <v>17.106250000000006</v>
      </c>
      <c r="AU93" s="316">
        <v>16.416527777777784</v>
      </c>
      <c r="AV93" s="316">
        <v>17.297361111111115</v>
      </c>
      <c r="AW93" s="316">
        <v>18.129583333333308</v>
      </c>
      <c r="AX93" s="316">
        <v>18.34875000000001</v>
      </c>
      <c r="AY93" s="316">
        <v>16.983333333333331</v>
      </c>
      <c r="AZ93" s="316">
        <v>14.216666666666674</v>
      </c>
      <c r="BA93" s="316">
        <v>16.235833333333346</v>
      </c>
      <c r="BB93" s="316">
        <v>13.842500000000008</v>
      </c>
      <c r="BC93" s="316">
        <v>16.409027777777787</v>
      </c>
      <c r="BD93" s="316">
        <v>16.974027777777788</v>
      </c>
      <c r="BE93" s="316">
        <v>18.137500000000003</v>
      </c>
      <c r="BF93" s="316">
        <v>16.891805555555557</v>
      </c>
      <c r="BG93" s="316">
        <v>13.616944444444439</v>
      </c>
      <c r="BH93" s="316">
        <v>13.594305555555547</v>
      </c>
      <c r="BI93" s="316">
        <v>16.658611111111117</v>
      </c>
      <c r="BJ93" s="316">
        <v>16.922361111111108</v>
      </c>
      <c r="BK93" s="316">
        <v>17.34277777777778</v>
      </c>
      <c r="BL93" s="316">
        <v>18.635138888888882</v>
      </c>
      <c r="BM93" s="316">
        <v>16.362222222222218</v>
      </c>
      <c r="BN93" s="316">
        <v>17.401111111111121</v>
      </c>
      <c r="BO93" s="316">
        <v>17.945000000000014</v>
      </c>
      <c r="BP93" s="316">
        <v>17.177638888888879</v>
      </c>
      <c r="BQ93" s="316">
        <v>14.844999999999999</v>
      </c>
      <c r="BR93" s="316">
        <v>16.453750000000007</v>
      </c>
      <c r="BS93" s="316">
        <v>17.738611111111119</v>
      </c>
      <c r="BT93" s="316">
        <v>15.268055555555527</v>
      </c>
      <c r="BU93" s="316">
        <v>13.325694444444451</v>
      </c>
      <c r="BV93" s="316">
        <v>17.127083333333331</v>
      </c>
      <c r="BW93" s="316">
        <v>17.612777777777776</v>
      </c>
      <c r="BX93" s="316">
        <v>10.692500000000006</v>
      </c>
      <c r="BY93" s="316">
        <v>18.433194444444453</v>
      </c>
      <c r="BZ93" s="316">
        <v>17.004305555555554</v>
      </c>
      <c r="CA93" s="316">
        <v>16.755416666666662</v>
      </c>
      <c r="CB93" s="316">
        <v>16.665833333333349</v>
      </c>
      <c r="CC93" s="316">
        <v>17.077500000000008</v>
      </c>
      <c r="CD93" s="316">
        <v>18.410555555555554</v>
      </c>
      <c r="CE93" s="316">
        <v>15.999444444444419</v>
      </c>
      <c r="CF93" s="316">
        <v>18.379861111111115</v>
      </c>
      <c r="CG93" s="316">
        <v>16.805416666666645</v>
      </c>
      <c r="CH93" s="316">
        <v>16.567361111111119</v>
      </c>
      <c r="CI93" s="316">
        <v>14.913472222222213</v>
      </c>
      <c r="CJ93" s="316">
        <v>16.749444444444453</v>
      </c>
      <c r="CK93" s="316">
        <v>17.291666666666679</v>
      </c>
      <c r="CL93" s="316">
        <v>17.158333333333324</v>
      </c>
      <c r="CM93" s="316">
        <v>18.699027777777797</v>
      </c>
      <c r="CN93" s="316">
        <v>17.618333333333332</v>
      </c>
      <c r="CO93" s="316">
        <v>17.537916666666675</v>
      </c>
      <c r="CP93" s="316">
        <v>14.846666666666652</v>
      </c>
      <c r="CQ93" s="316">
        <v>15.121666666666663</v>
      </c>
      <c r="CR93" s="316">
        <v>19.041388888888875</v>
      </c>
      <c r="CS93" s="316">
        <v>17.471249999999998</v>
      </c>
      <c r="CT93" s="316">
        <v>15.120694444444432</v>
      </c>
      <c r="CU93" s="316">
        <v>18.433472222222203</v>
      </c>
      <c r="CV93" s="316">
        <v>13.115694444444431</v>
      </c>
      <c r="CW93" s="316">
        <v>17.076250000000012</v>
      </c>
      <c r="CX93" s="316">
        <v>17.771527777777777</v>
      </c>
      <c r="CY93" s="316">
        <v>16.634305555555549</v>
      </c>
      <c r="CZ93" s="316">
        <v>18.182916666666681</v>
      </c>
      <c r="DA93" s="316">
        <v>16.809027777777793</v>
      </c>
      <c r="DB93" s="316">
        <v>18.177222222222245</v>
      </c>
      <c r="DC93" s="316">
        <v>16.933055555555587</v>
      </c>
      <c r="DD93" s="316">
        <v>16.734583333333315</v>
      </c>
      <c r="DE93" s="316">
        <v>12.727083333333331</v>
      </c>
      <c r="DF93" s="316">
        <v>17.863055555555537</v>
      </c>
      <c r="DG93" s="316">
        <v>17.235555555555564</v>
      </c>
      <c r="DH93" s="316">
        <v>18.076250000000012</v>
      </c>
      <c r="DI93" s="316">
        <v>16.518472222222218</v>
      </c>
      <c r="DJ93" s="316">
        <v>15.574583333333337</v>
      </c>
      <c r="DK93" s="316">
        <v>17.943611111111125</v>
      </c>
      <c r="DL93" s="316">
        <v>16.59055555555554</v>
      </c>
      <c r="DM93" s="316">
        <v>17.45708333333334</v>
      </c>
      <c r="DN93" s="316">
        <v>16.699861111111122</v>
      </c>
      <c r="DO93" s="316">
        <v>18.24305555555555</v>
      </c>
      <c r="DP93" s="316">
        <v>16.498888888888871</v>
      </c>
      <c r="DQ93" s="316">
        <v>11.902083333333335</v>
      </c>
      <c r="DR93" s="316">
        <v>18.038611111111098</v>
      </c>
      <c r="DS93" s="316">
        <v>18.073194444444457</v>
      </c>
      <c r="DT93" s="316">
        <v>17.098749999999988</v>
      </c>
      <c r="DU93" s="316">
        <v>17.678055555555577</v>
      </c>
      <c r="DV93" s="316">
        <v>17.139722222222211</v>
      </c>
      <c r="DW93" s="316">
        <v>17.096388888888882</v>
      </c>
      <c r="DX93" s="316">
        <v>16.379027777777807</v>
      </c>
      <c r="DY93" s="316">
        <v>16.697083333333328</v>
      </c>
      <c r="DZ93" s="316">
        <v>17.833611111111125</v>
      </c>
      <c r="EA93" s="316">
        <v>18.8063888888889</v>
      </c>
      <c r="EB93" s="316">
        <v>18.233194444444482</v>
      </c>
      <c r="EC93" s="316">
        <v>16.515138888888895</v>
      </c>
      <c r="ED93" s="316">
        <v>17.336944444444459</v>
      </c>
      <c r="EE93" s="316">
        <v>17.315416666666682</v>
      </c>
      <c r="EF93" s="316">
        <v>17.28194444444447</v>
      </c>
      <c r="EG93" s="316">
        <v>16.02805555555555</v>
      </c>
      <c r="EH93" s="316">
        <v>18.381944444444446</v>
      </c>
      <c r="EI93" s="316">
        <v>16.873611111111124</v>
      </c>
      <c r="EJ93" s="316">
        <v>15.285694444444452</v>
      </c>
      <c r="EK93" s="316">
        <v>18.241805555555548</v>
      </c>
      <c r="EL93" s="316">
        <v>14.868749999999977</v>
      </c>
      <c r="EM93" s="316">
        <v>15.836527777777787</v>
      </c>
      <c r="EN93" s="316">
        <v>17.91125000000001</v>
      </c>
      <c r="EO93" s="316">
        <v>18.301666666666669</v>
      </c>
      <c r="EP93" s="316">
        <v>15.358055555555557</v>
      </c>
      <c r="EQ93" s="316">
        <v>13.939583333333328</v>
      </c>
      <c r="ER93" s="316">
        <v>17.275277777777795</v>
      </c>
      <c r="ES93" s="316">
        <v>17.108333333333348</v>
      </c>
      <c r="ET93" s="316">
        <v>16.524999999999995</v>
      </c>
      <c r="EU93" s="316">
        <v>17.680833333333347</v>
      </c>
      <c r="EV93" s="316">
        <v>16.397083333333324</v>
      </c>
      <c r="EW93" s="316">
        <v>17.490833333333342</v>
      </c>
      <c r="EX93" s="316">
        <v>16.143194444444436</v>
      </c>
      <c r="EY93" s="316">
        <v>16.508333333333333</v>
      </c>
      <c r="EZ93" s="316">
        <v>18.037638888888903</v>
      </c>
      <c r="FA93" s="316">
        <v>16.847222222222211</v>
      </c>
      <c r="FB93" s="316">
        <v>18.559861111111083</v>
      </c>
      <c r="FC93" s="316">
        <v>18.396249999999981</v>
      </c>
      <c r="FD93" s="316">
        <v>18.807638888888896</v>
      </c>
      <c r="FE93" s="316">
        <v>17.105555555555537</v>
      </c>
      <c r="FF93" s="316">
        <v>17.2598611111111</v>
      </c>
      <c r="FG93" s="316">
        <v>15.766250000000019</v>
      </c>
      <c r="FH93" s="316">
        <v>14.852222222222233</v>
      </c>
      <c r="FI93" s="316">
        <v>18.350972222222204</v>
      </c>
      <c r="FJ93" s="316">
        <v>17.97472222222223</v>
      </c>
      <c r="FK93" s="316">
        <v>14.450833333333323</v>
      </c>
      <c r="FL93" s="316">
        <v>18.515699999999999</v>
      </c>
      <c r="FM93" s="316">
        <v>18.301250000000021</v>
      </c>
      <c r="FN93" s="316">
        <v>18.072916666666643</v>
      </c>
      <c r="FO93" s="316">
        <v>17.140416666666674</v>
      </c>
      <c r="FP93" s="316">
        <v>17.179583333333348</v>
      </c>
      <c r="FQ93" s="316">
        <v>16.393749999999997</v>
      </c>
      <c r="FR93" s="316">
        <v>17.715555555555543</v>
      </c>
      <c r="FS93" s="316">
        <v>16.120138888888885</v>
      </c>
      <c r="FT93" s="316">
        <v>16.139861111111127</v>
      </c>
      <c r="FU93" s="316">
        <v>17.333472222222223</v>
      </c>
      <c r="FV93" s="316">
        <v>18.278888888888908</v>
      </c>
      <c r="FW93" s="316">
        <v>17.570277777777793</v>
      </c>
      <c r="FX93" s="316">
        <v>14.746666666666652</v>
      </c>
      <c r="FY93" s="316">
        <v>16.789583333333344</v>
      </c>
      <c r="FZ93" s="316">
        <v>15.343055555555567</v>
      </c>
      <c r="GA93" s="316">
        <v>9.2170833333333224</v>
      </c>
      <c r="GB93" s="316">
        <v>15.195694444444431</v>
      </c>
      <c r="GC93" s="316">
        <v>17.870416666666664</v>
      </c>
      <c r="GD93" s="316">
        <v>16.196805555555571</v>
      </c>
      <c r="GE93" s="316">
        <v>17.470000000000013</v>
      </c>
      <c r="GF93" s="316">
        <v>18.602777777777781</v>
      </c>
      <c r="GG93" s="316">
        <v>17.116944444444457</v>
      </c>
      <c r="GH93" s="316">
        <v>18.381111111111103</v>
      </c>
      <c r="GI93" s="316">
        <v>17.221111111111114</v>
      </c>
      <c r="GJ93" s="316">
        <v>17.879305555555565</v>
      </c>
      <c r="GK93" s="316">
        <v>17.347222222222243</v>
      </c>
      <c r="GL93" s="316">
        <v>15.870833333333316</v>
      </c>
      <c r="GM93" s="316">
        <v>17.227499999999985</v>
      </c>
      <c r="GN93" s="316">
        <v>17.454861111111118</v>
      </c>
      <c r="GO93" s="316">
        <v>16.258888888888894</v>
      </c>
      <c r="GP93" s="316">
        <v>17.230555555555565</v>
      </c>
      <c r="GQ93" s="316">
        <v>17.076111111111128</v>
      </c>
      <c r="GR93" s="316">
        <v>15.271388888888875</v>
      </c>
      <c r="GS93" s="316">
        <v>18.917638888888895</v>
      </c>
      <c r="GT93" s="316">
        <v>19.088333333333328</v>
      </c>
      <c r="GU93" s="316">
        <v>14.055277777777775</v>
      </c>
      <c r="GV93" s="316">
        <v>15.458749999999979</v>
      </c>
      <c r="GW93" s="316">
        <v>18.240138888888868</v>
      </c>
      <c r="GX93" s="316">
        <v>16.243194444444452</v>
      </c>
      <c r="GY93" s="316">
        <v>18.917916666666681</v>
      </c>
      <c r="GZ93" s="316">
        <v>19.116805555555555</v>
      </c>
      <c r="HA93" s="316">
        <v>16.542500000000025</v>
      </c>
      <c r="HB93" s="316">
        <v>11.285833333333329</v>
      </c>
      <c r="HC93" s="316">
        <v>13.997777777777761</v>
      </c>
      <c r="HD93" s="316">
        <v>18.42347222222222</v>
      </c>
      <c r="HE93" s="316">
        <v>16.358611111111124</v>
      </c>
      <c r="HF93" s="316">
        <v>14.044027777777774</v>
      </c>
      <c r="HG93" s="316">
        <v>19.081111111111113</v>
      </c>
      <c r="HH93" s="316">
        <v>15.606944444444457</v>
      </c>
      <c r="HI93" s="316">
        <v>16.579861111111125</v>
      </c>
      <c r="HJ93" s="316">
        <v>17.770833333333325</v>
      </c>
      <c r="HK93" s="316">
        <v>17.640694444444442</v>
      </c>
      <c r="HL93" s="316">
        <v>17.898472222222232</v>
      </c>
      <c r="HM93" s="316">
        <v>14.369166666666674</v>
      </c>
      <c r="HN93" s="316">
        <v>16.546666666666656</v>
      </c>
      <c r="HO93" s="316">
        <v>13.658055555555565</v>
      </c>
      <c r="HP93" s="316">
        <v>16.785972222222213</v>
      </c>
      <c r="HQ93" s="316">
        <v>16.7638888888889</v>
      </c>
      <c r="HR93" s="316">
        <v>13.941250000000005</v>
      </c>
      <c r="HS93" s="316">
        <v>13.880416666666665</v>
      </c>
      <c r="HT93" s="316">
        <v>17.009305555555574</v>
      </c>
      <c r="HU93" s="316">
        <v>17.07833333333333</v>
      </c>
      <c r="HV93" s="316">
        <v>15.882777777777791</v>
      </c>
      <c r="HW93" s="316">
        <v>18.312499999999989</v>
      </c>
      <c r="HX93" s="316">
        <v>18.404861111111124</v>
      </c>
      <c r="HY93" s="316">
        <v>17.735277777777778</v>
      </c>
      <c r="HZ93" s="316">
        <v>16.130416666666669</v>
      </c>
      <c r="IA93" s="316">
        <v>17.404583333333324</v>
      </c>
      <c r="IB93" s="316">
        <v>17.033749999999991</v>
      </c>
      <c r="IC93" s="316">
        <v>17.200600000000001</v>
      </c>
      <c r="ID93" s="316">
        <v>15.33916666666669</v>
      </c>
      <c r="IE93" s="316">
        <v>17.786944444444458</v>
      </c>
      <c r="IF93" s="316">
        <v>15.767083333333336</v>
      </c>
      <c r="IG93" s="316">
        <v>17.642777777777773</v>
      </c>
      <c r="IH93" s="316">
        <v>16.638333333333335</v>
      </c>
      <c r="II93" s="316">
        <v>18.3124</v>
      </c>
      <c r="IJ93" s="316">
        <v>16.687777777777793</v>
      </c>
      <c r="IK93" s="316">
        <v>17.766527777777778</v>
      </c>
      <c r="IL93" s="316">
        <v>17.339999999999993</v>
      </c>
      <c r="IM93" s="316">
        <v>16.764305555555556</v>
      </c>
      <c r="IN93" s="316">
        <v>17.755694444444433</v>
      </c>
      <c r="IO93" s="316">
        <v>18.271250000000006</v>
      </c>
      <c r="IP93" s="316">
        <v>18.770416666666666</v>
      </c>
      <c r="IQ93" s="316">
        <v>12.53194444444445</v>
      </c>
      <c r="IR93" s="316">
        <v>17.452638888888888</v>
      </c>
      <c r="IS93" s="316">
        <v>17.324999999999996</v>
      </c>
      <c r="IT93" s="316">
        <v>16.224583333333342</v>
      </c>
      <c r="IU93" s="316">
        <v>16.492083333333344</v>
      </c>
      <c r="IV93" s="316">
        <v>16.408333333333314</v>
      </c>
      <c r="IW93" s="316">
        <v>17.206944444444446</v>
      </c>
      <c r="IX93" s="316">
        <v>18.811388888888878</v>
      </c>
      <c r="IY93" s="316">
        <v>18.584027777777749</v>
      </c>
      <c r="IZ93" s="316">
        <v>18.120416666666639</v>
      </c>
      <c r="JA93" s="316">
        <v>17.141944444444448</v>
      </c>
      <c r="JB93" s="316">
        <v>17.325416666666676</v>
      </c>
      <c r="JC93" s="316">
        <v>18.181666666666693</v>
      </c>
      <c r="JD93" s="316">
        <v>17.95249999999999</v>
      </c>
      <c r="JE93" s="316">
        <v>15.930972222222231</v>
      </c>
      <c r="JF93" s="316">
        <v>17.054166666666667</v>
      </c>
      <c r="JG93" s="316">
        <v>16.71333333333331</v>
      </c>
      <c r="JH93" s="316">
        <v>17.560138888888886</v>
      </c>
      <c r="JI93" s="316">
        <v>13.986388888888898</v>
      </c>
      <c r="JJ93" s="316">
        <v>18.175138888888885</v>
      </c>
      <c r="JK93" s="316">
        <v>14.768749999999983</v>
      </c>
      <c r="JL93" s="316">
        <v>18.046111111111106</v>
      </c>
      <c r="JM93" s="316">
        <v>18.149861111111097</v>
      </c>
      <c r="JN93" s="316">
        <v>16.815555555555566</v>
      </c>
      <c r="JO93" s="316">
        <v>16.764861111111117</v>
      </c>
      <c r="JP93" s="316">
        <v>14.914722222222226</v>
      </c>
      <c r="JQ93" s="316">
        <v>18.304166666666671</v>
      </c>
      <c r="JR93" s="316">
        <v>17.430277777777768</v>
      </c>
      <c r="JS93" s="316">
        <v>17.773611111111116</v>
      </c>
      <c r="JT93" s="316">
        <v>18.263194444444462</v>
      </c>
      <c r="JU93" s="316">
        <v>17.745138888888878</v>
      </c>
      <c r="JV93" s="316">
        <v>17.561527777777783</v>
      </c>
      <c r="JW93" s="316">
        <v>17.145138888888876</v>
      </c>
      <c r="JX93" s="316">
        <v>16.74402777777777</v>
      </c>
      <c r="JY93" s="316">
        <v>15.033749999999987</v>
      </c>
      <c r="JZ93" s="316">
        <v>12.458055555555562</v>
      </c>
      <c r="KA93" s="316">
        <v>16.243472222222238</v>
      </c>
      <c r="KB93" s="316">
        <v>17.696944444444448</v>
      </c>
      <c r="KC93" s="316">
        <v>17.955694444444443</v>
      </c>
      <c r="KD93" s="316">
        <v>17.241527777777776</v>
      </c>
      <c r="KE93" s="316">
        <v>15.113333333333351</v>
      </c>
      <c r="KF93" s="316">
        <v>15.482500000000007</v>
      </c>
      <c r="KG93" s="316">
        <v>17.224861111111107</v>
      </c>
      <c r="KH93" s="316">
        <v>16.142777777777777</v>
      </c>
      <c r="KI93" s="316">
        <v>17.152916666666677</v>
      </c>
      <c r="KJ93" s="316">
        <v>17.721111111111114</v>
      </c>
      <c r="KK93" s="316">
        <v>16.982499999999998</v>
      </c>
      <c r="KL93" s="316">
        <v>15.103333333333365</v>
      </c>
      <c r="KM93" s="316">
        <v>13.970277777777792</v>
      </c>
      <c r="KN93" s="316">
        <v>18.381250000000001</v>
      </c>
      <c r="KO93" s="316">
        <v>17.314166666666665</v>
      </c>
      <c r="KP93" s="316">
        <v>16.030000000000008</v>
      </c>
      <c r="KQ93" s="316">
        <v>15.606111111111092</v>
      </c>
      <c r="KR93" s="316">
        <v>15.609166666666667</v>
      </c>
    </row>
    <row r="94" spans="1:304" s="315" customFormat="1" x14ac:dyDescent="0.25">
      <c r="A94" s="310">
        <v>2021</v>
      </c>
      <c r="B94" s="310">
        <v>7</v>
      </c>
      <c r="C94" s="316">
        <v>12.59919354838709</v>
      </c>
      <c r="D94" s="316">
        <v>20.89422043010752</v>
      </c>
      <c r="E94" s="316">
        <v>19.377553763440879</v>
      </c>
      <c r="F94" s="316">
        <v>19.134274193548386</v>
      </c>
      <c r="G94" s="316">
        <v>18.695564516129032</v>
      </c>
      <c r="H94" s="316">
        <v>20.114516129032264</v>
      </c>
      <c r="I94" s="316">
        <v>16.083736559139773</v>
      </c>
      <c r="J94" s="316">
        <v>16.695161290322581</v>
      </c>
      <c r="K94" s="316">
        <v>18.716666666666651</v>
      </c>
      <c r="L94" s="316">
        <v>19.323790322580656</v>
      </c>
      <c r="M94" s="316">
        <v>19.018279569892481</v>
      </c>
      <c r="N94" s="316">
        <v>18.956586021505373</v>
      </c>
      <c r="O94" s="316">
        <v>18.031854838709684</v>
      </c>
      <c r="P94" s="316">
        <v>19.559543010752677</v>
      </c>
      <c r="Q94" s="316">
        <v>18.376075268817214</v>
      </c>
      <c r="R94" s="316">
        <v>18.913575268817205</v>
      </c>
      <c r="S94" s="316">
        <v>18.456586021505377</v>
      </c>
      <c r="T94" s="316">
        <v>20.268682795698918</v>
      </c>
      <c r="U94" s="316">
        <v>18.553000000000001</v>
      </c>
      <c r="V94" s="316">
        <v>18.573521505376341</v>
      </c>
      <c r="W94" s="316">
        <v>20.170026881720432</v>
      </c>
      <c r="X94" s="316">
        <v>19.123118279569901</v>
      </c>
      <c r="Y94" s="316">
        <v>19.656854838709688</v>
      </c>
      <c r="Z94" s="316">
        <v>16.882661290322581</v>
      </c>
      <c r="AA94" s="316">
        <v>20.189381720430109</v>
      </c>
      <c r="AB94" s="316">
        <v>19.46774193548389</v>
      </c>
      <c r="AC94" s="316">
        <v>18.155376344086058</v>
      </c>
      <c r="AD94" s="316">
        <v>18.631720430107528</v>
      </c>
      <c r="AE94" s="316">
        <v>20.743279569892465</v>
      </c>
      <c r="AF94" s="316">
        <v>18.983736559139793</v>
      </c>
      <c r="AG94" s="316">
        <v>18.567338709677436</v>
      </c>
      <c r="AH94" s="316">
        <v>17.09529569892473</v>
      </c>
      <c r="AI94" s="316">
        <v>18.026478494623664</v>
      </c>
      <c r="AJ94" s="316">
        <v>18.471370967741908</v>
      </c>
      <c r="AK94" s="316">
        <v>19.053897849462366</v>
      </c>
      <c r="AL94" s="316">
        <v>19.915188172042992</v>
      </c>
      <c r="AM94" s="316">
        <v>20.293548387096752</v>
      </c>
      <c r="AN94" s="316">
        <v>19.627284946236585</v>
      </c>
      <c r="AO94" s="316">
        <v>19.022580645161298</v>
      </c>
      <c r="AP94" s="316">
        <v>19.049193548387091</v>
      </c>
      <c r="AQ94" s="316">
        <v>19.561290322580639</v>
      </c>
      <c r="AR94" s="316">
        <v>18.264650537634431</v>
      </c>
      <c r="AS94" s="316">
        <v>19.532258064516125</v>
      </c>
      <c r="AT94" s="316">
        <v>18.971505376344087</v>
      </c>
      <c r="AU94" s="316">
        <v>18.587903225806453</v>
      </c>
      <c r="AV94" s="316">
        <v>19.663844086021513</v>
      </c>
      <c r="AW94" s="316">
        <v>19.974193548387102</v>
      </c>
      <c r="AX94" s="316">
        <v>20.217204301075277</v>
      </c>
      <c r="AY94" s="316">
        <v>19.054973118279587</v>
      </c>
      <c r="AZ94" s="316">
        <v>17.420698924731187</v>
      </c>
      <c r="BA94" s="316">
        <v>18.892204301075296</v>
      </c>
      <c r="BB94" s="316">
        <v>16.626747311827963</v>
      </c>
      <c r="BC94" s="316">
        <v>18.064381720430113</v>
      </c>
      <c r="BD94" s="316">
        <v>18.588306451612908</v>
      </c>
      <c r="BE94" s="316">
        <v>19.819354838709682</v>
      </c>
      <c r="BF94" s="316">
        <v>19.199193548387079</v>
      </c>
      <c r="BG94" s="316">
        <v>16.745026881720445</v>
      </c>
      <c r="BH94" s="316">
        <v>16.120295698924739</v>
      </c>
      <c r="BI94" s="316">
        <v>19.417473118279567</v>
      </c>
      <c r="BJ94" s="316">
        <v>19.9686827956989</v>
      </c>
      <c r="BK94" s="316">
        <v>19.360618279569874</v>
      </c>
      <c r="BL94" s="316">
        <v>20.527016129032244</v>
      </c>
      <c r="BM94" s="316">
        <v>18.18252688172042</v>
      </c>
      <c r="BN94" s="316">
        <v>19.281854838709691</v>
      </c>
      <c r="BO94" s="316">
        <v>19.732392473118278</v>
      </c>
      <c r="BP94" s="316">
        <v>19.816801075268803</v>
      </c>
      <c r="BQ94" s="316">
        <v>17.532661290322572</v>
      </c>
      <c r="BR94" s="316">
        <v>19.328629032258043</v>
      </c>
      <c r="BS94" s="316">
        <v>19.855913978494623</v>
      </c>
      <c r="BT94" s="316">
        <v>18.128629032258075</v>
      </c>
      <c r="BU94" s="316">
        <v>15.822715053763451</v>
      </c>
      <c r="BV94" s="316">
        <v>18.889650537634402</v>
      </c>
      <c r="BW94" s="316">
        <v>19.721908602150549</v>
      </c>
      <c r="BX94" s="316">
        <v>14.131317204301052</v>
      </c>
      <c r="BY94" s="316">
        <v>20.687903225806433</v>
      </c>
      <c r="BZ94" s="316">
        <v>18.798790322580668</v>
      </c>
      <c r="CA94" s="316">
        <v>18.88252688172042</v>
      </c>
      <c r="CB94" s="316">
        <v>18.836424731182795</v>
      </c>
      <c r="CC94" s="316">
        <v>19.243145161290311</v>
      </c>
      <c r="CD94" s="316">
        <v>20.333870967741952</v>
      </c>
      <c r="CE94" s="316">
        <v>18.884274193548407</v>
      </c>
      <c r="CF94" s="316">
        <v>19.196908602150568</v>
      </c>
      <c r="CG94" s="316">
        <v>18.659543010752678</v>
      </c>
      <c r="CH94" s="316">
        <v>18.528629032258046</v>
      </c>
      <c r="CI94" s="316">
        <v>18.632392473118262</v>
      </c>
      <c r="CJ94" s="316">
        <v>19.521639784946242</v>
      </c>
      <c r="CK94" s="316">
        <v>19.007123655913976</v>
      </c>
      <c r="CL94" s="316">
        <v>19.598387096774175</v>
      </c>
      <c r="CM94" s="316">
        <v>19.495430107526886</v>
      </c>
      <c r="CN94" s="316">
        <v>19.139919354838703</v>
      </c>
      <c r="CO94" s="316">
        <v>19.18212365591398</v>
      </c>
      <c r="CP94" s="316">
        <v>17.428494623655922</v>
      </c>
      <c r="CQ94" s="316">
        <v>18.148118279569875</v>
      </c>
      <c r="CR94" s="316">
        <v>20.887499999999989</v>
      </c>
      <c r="CS94" s="316">
        <v>18.674596774193546</v>
      </c>
      <c r="CT94" s="316">
        <v>18.040994623655891</v>
      </c>
      <c r="CU94" s="316">
        <v>20.119892473118313</v>
      </c>
      <c r="CV94" s="316">
        <v>15.366935483870945</v>
      </c>
      <c r="CW94" s="316">
        <v>19.277956989247325</v>
      </c>
      <c r="CX94" s="316">
        <v>19.419623655913977</v>
      </c>
      <c r="CY94" s="316">
        <v>18.761155913978495</v>
      </c>
      <c r="CZ94" s="316">
        <v>20.190725806451606</v>
      </c>
      <c r="DA94" s="316">
        <v>19.370430107526886</v>
      </c>
      <c r="DB94" s="316">
        <v>19.897849462365585</v>
      </c>
      <c r="DC94" s="316">
        <v>18.965456989247301</v>
      </c>
      <c r="DD94" s="316">
        <v>19.021102150537629</v>
      </c>
      <c r="DE94" s="316">
        <v>15.401612903225805</v>
      </c>
      <c r="DF94" s="316">
        <v>19.013440860215063</v>
      </c>
      <c r="DG94" s="316">
        <v>19.280779569892474</v>
      </c>
      <c r="DH94" s="316">
        <v>19.95524193548388</v>
      </c>
      <c r="DI94" s="316">
        <v>18.243145161290318</v>
      </c>
      <c r="DJ94" s="316">
        <v>18.671908602150541</v>
      </c>
      <c r="DK94" s="316">
        <v>19.57513440860215</v>
      </c>
      <c r="DL94" s="316">
        <v>19.240053763440841</v>
      </c>
      <c r="DM94" s="316">
        <v>19.33440860215055</v>
      </c>
      <c r="DN94" s="316">
        <v>19.552284946236561</v>
      </c>
      <c r="DO94" s="316">
        <v>20.109408602150534</v>
      </c>
      <c r="DP94" s="316">
        <v>19.46962365591396</v>
      </c>
      <c r="DQ94" s="316">
        <v>15.566801075268806</v>
      </c>
      <c r="DR94" s="316">
        <v>19.988037634408602</v>
      </c>
      <c r="DS94" s="316">
        <v>19.857526881720442</v>
      </c>
      <c r="DT94" s="316">
        <v>19.384677419354833</v>
      </c>
      <c r="DU94" s="316">
        <v>19.848521505376333</v>
      </c>
      <c r="DV94" s="316">
        <v>19.113172043010749</v>
      </c>
      <c r="DW94" s="316">
        <v>18.976478494623674</v>
      </c>
      <c r="DX94" s="316">
        <v>18.203360215053756</v>
      </c>
      <c r="DY94" s="316">
        <v>19.232526881720421</v>
      </c>
      <c r="DZ94" s="316">
        <v>18.882392473118284</v>
      </c>
      <c r="EA94" s="316">
        <v>20.676344086021512</v>
      </c>
      <c r="EB94" s="316">
        <v>20.007526881720459</v>
      </c>
      <c r="EC94" s="316">
        <v>19.290860215053772</v>
      </c>
      <c r="ED94" s="316">
        <v>19.090322580645147</v>
      </c>
      <c r="EE94" s="316">
        <v>19.56693548387096</v>
      </c>
      <c r="EF94" s="316">
        <v>18.720161290322569</v>
      </c>
      <c r="EG94" s="316">
        <v>18.328629032258071</v>
      </c>
      <c r="EH94" s="316">
        <v>20.204435483870977</v>
      </c>
      <c r="EI94" s="316">
        <v>18.493145161290315</v>
      </c>
      <c r="EJ94" s="316">
        <v>18.423655913978489</v>
      </c>
      <c r="EK94" s="316">
        <v>20.034139784946223</v>
      </c>
      <c r="EL94" s="316">
        <v>18.068548387096783</v>
      </c>
      <c r="EM94" s="316">
        <v>19.106854838709666</v>
      </c>
      <c r="EN94" s="316">
        <v>19.118279569892458</v>
      </c>
      <c r="EO94" s="316">
        <v>20.134005376344057</v>
      </c>
      <c r="EP94" s="316">
        <v>17.267473118279565</v>
      </c>
      <c r="EQ94" s="316">
        <v>17.002419354838693</v>
      </c>
      <c r="ER94" s="316">
        <v>19.564112903225809</v>
      </c>
      <c r="ES94" s="316">
        <v>18.940053763440861</v>
      </c>
      <c r="ET94" s="316">
        <v>19.185080645161307</v>
      </c>
      <c r="EU94" s="316">
        <v>19.208198924731178</v>
      </c>
      <c r="EV94" s="316">
        <v>18.387499999999999</v>
      </c>
      <c r="EW94" s="316">
        <v>19.463440860215073</v>
      </c>
      <c r="EX94" s="316">
        <v>19.071102150537651</v>
      </c>
      <c r="EY94" s="316">
        <v>18.458602150537644</v>
      </c>
      <c r="EZ94" s="316">
        <v>20.061424731182797</v>
      </c>
      <c r="FA94" s="316">
        <v>19.744354838709651</v>
      </c>
      <c r="FB94" s="316">
        <v>20.086155913978452</v>
      </c>
      <c r="FC94" s="316">
        <v>20.415322580645149</v>
      </c>
      <c r="FD94" s="316">
        <v>20.710080645161273</v>
      </c>
      <c r="FE94" s="316">
        <v>18.888172043010758</v>
      </c>
      <c r="FF94" s="316">
        <v>19.05940860215053</v>
      </c>
      <c r="FG94" s="316">
        <v>18.470430107526887</v>
      </c>
      <c r="FH94" s="316">
        <v>18.609677419354828</v>
      </c>
      <c r="FI94" s="316">
        <v>20.198252688172047</v>
      </c>
      <c r="FJ94" s="316">
        <v>19.730376344086025</v>
      </c>
      <c r="FK94" s="316">
        <v>17.567204301075257</v>
      </c>
      <c r="FL94" s="316">
        <v>19.4329</v>
      </c>
      <c r="FM94" s="316">
        <v>20.097446236559136</v>
      </c>
      <c r="FN94" s="316">
        <v>20.133064516129025</v>
      </c>
      <c r="FO94" s="316">
        <v>19.884946236559156</v>
      </c>
      <c r="FP94" s="316">
        <v>18.329032258064537</v>
      </c>
      <c r="FQ94" s="316">
        <v>18.767741935483865</v>
      </c>
      <c r="FR94" s="316">
        <v>19.132661290322567</v>
      </c>
      <c r="FS94" s="316">
        <v>18.15645161290324</v>
      </c>
      <c r="FT94" s="316">
        <v>19.193145161290339</v>
      </c>
      <c r="FU94" s="316">
        <v>18.962096774193544</v>
      </c>
      <c r="FV94" s="316">
        <v>19.913978494623645</v>
      </c>
      <c r="FW94" s="316">
        <v>20.14247311827959</v>
      </c>
      <c r="FX94" s="316">
        <v>17.011155913978499</v>
      </c>
      <c r="FY94" s="316">
        <v>19.545161290322582</v>
      </c>
      <c r="FZ94" s="316">
        <v>18.344086021505362</v>
      </c>
      <c r="GA94" s="316">
        <v>13.134811827956984</v>
      </c>
      <c r="GB94" s="316">
        <v>18.375268817204287</v>
      </c>
      <c r="GC94" s="316">
        <v>19.679301075268821</v>
      </c>
      <c r="GD94" s="316">
        <v>18.173521505376357</v>
      </c>
      <c r="GE94" s="316">
        <v>19.333333333333343</v>
      </c>
      <c r="GF94" s="316">
        <v>20.544758064516117</v>
      </c>
      <c r="GG94" s="316">
        <v>19.436827956989251</v>
      </c>
      <c r="GH94" s="316">
        <v>20.231854838709666</v>
      </c>
      <c r="GI94" s="316">
        <v>19.301344086021498</v>
      </c>
      <c r="GJ94" s="316">
        <v>19.260080645161274</v>
      </c>
      <c r="GK94" s="316">
        <v>19.221102150537639</v>
      </c>
      <c r="GL94" s="316">
        <v>18.884139784946225</v>
      </c>
      <c r="GM94" s="316">
        <v>18.998118279569908</v>
      </c>
      <c r="GN94" s="316">
        <v>19.327956989247308</v>
      </c>
      <c r="GO94" s="316">
        <v>19.336962365591393</v>
      </c>
      <c r="GP94" s="316">
        <v>18.960349462365617</v>
      </c>
      <c r="GQ94" s="316">
        <v>18.749193548387105</v>
      </c>
      <c r="GR94" s="316">
        <v>17.870430107526893</v>
      </c>
      <c r="GS94" s="316">
        <v>20.704569892473113</v>
      </c>
      <c r="GT94" s="316">
        <v>20.920967741935485</v>
      </c>
      <c r="GU94" s="316">
        <v>16.964650537634423</v>
      </c>
      <c r="GV94" s="316">
        <v>18.999059139784951</v>
      </c>
      <c r="GW94" s="316">
        <v>19.951344086021521</v>
      </c>
      <c r="GX94" s="316">
        <v>19.396908602150539</v>
      </c>
      <c r="GY94" s="316">
        <v>20.769623655914</v>
      </c>
      <c r="GZ94" s="316">
        <v>20.961827956989247</v>
      </c>
      <c r="HA94" s="316">
        <v>18.874059139784976</v>
      </c>
      <c r="HB94" s="316">
        <v>14.424596774193553</v>
      </c>
      <c r="HC94" s="316">
        <v>17.027284946236541</v>
      </c>
      <c r="HD94" s="316">
        <v>20.166129032258048</v>
      </c>
      <c r="HE94" s="316">
        <v>19.451344086021489</v>
      </c>
      <c r="HF94" s="316">
        <v>17.032526881720447</v>
      </c>
      <c r="HG94" s="316">
        <v>20.912365591397833</v>
      </c>
      <c r="HH94" s="316">
        <v>18.687634408602154</v>
      </c>
      <c r="HI94" s="316">
        <v>18.440725806451617</v>
      </c>
      <c r="HJ94" s="316">
        <v>19.557526881720459</v>
      </c>
      <c r="HK94" s="316">
        <v>19.628897849462344</v>
      </c>
      <c r="HL94" s="316">
        <v>19.702150537634424</v>
      </c>
      <c r="HM94" s="316">
        <v>16.686827956989251</v>
      </c>
      <c r="HN94" s="316">
        <v>18.505376344086045</v>
      </c>
      <c r="HO94" s="316">
        <v>16.53629032258063</v>
      </c>
      <c r="HP94" s="316">
        <v>19.266129032258039</v>
      </c>
      <c r="HQ94" s="316">
        <v>19.120430107526875</v>
      </c>
      <c r="HR94" s="316">
        <v>15.898655913978507</v>
      </c>
      <c r="HS94" s="316">
        <v>15.93293010752685</v>
      </c>
      <c r="HT94" s="316">
        <v>18.713709677419359</v>
      </c>
      <c r="HU94" s="316">
        <v>18.157795698924737</v>
      </c>
      <c r="HV94" s="316">
        <v>18.838575268817191</v>
      </c>
      <c r="HW94" s="316">
        <v>20.108198924731184</v>
      </c>
      <c r="HX94" s="316">
        <v>20.323924731182782</v>
      </c>
      <c r="HY94" s="316">
        <v>19.597715053763437</v>
      </c>
      <c r="HZ94" s="316">
        <v>19.264516129032266</v>
      </c>
      <c r="IA94" s="316">
        <v>19.158333333333342</v>
      </c>
      <c r="IB94" s="316">
        <v>18.552284946236576</v>
      </c>
      <c r="IC94" s="316">
        <v>19.662199999999999</v>
      </c>
      <c r="ID94" s="316">
        <v>18.478897849462339</v>
      </c>
      <c r="IE94" s="316">
        <v>18.869489247311819</v>
      </c>
      <c r="IF94" s="316">
        <v>19.385752688172062</v>
      </c>
      <c r="IG94" s="316">
        <v>19.196236559139788</v>
      </c>
      <c r="IH94" s="316">
        <v>18.346774193548395</v>
      </c>
      <c r="II94" s="316">
        <v>19.9452</v>
      </c>
      <c r="IJ94" s="316">
        <v>18.446908602150515</v>
      </c>
      <c r="IK94" s="316">
        <v>18.876478494623679</v>
      </c>
      <c r="IL94" s="316">
        <v>19.622043010752691</v>
      </c>
      <c r="IM94" s="316">
        <v>19.271639784946231</v>
      </c>
      <c r="IN94" s="316">
        <v>19.884274193548389</v>
      </c>
      <c r="IO94" s="316">
        <v>20.337365591397866</v>
      </c>
      <c r="IP94" s="316">
        <v>20.54650537634409</v>
      </c>
      <c r="IQ94" s="316">
        <v>14.88481182795698</v>
      </c>
      <c r="IR94" s="316">
        <v>19.695161290322595</v>
      </c>
      <c r="IS94" s="316">
        <v>19.371908602150526</v>
      </c>
      <c r="IT94" s="316">
        <v>19.168951612903211</v>
      </c>
      <c r="IU94" s="316">
        <v>18.785483870967713</v>
      </c>
      <c r="IV94" s="316">
        <v>18.220295698924755</v>
      </c>
      <c r="IW94" s="316">
        <v>19.018279569892481</v>
      </c>
      <c r="IX94" s="316">
        <v>20.710483870967728</v>
      </c>
      <c r="IY94" s="316">
        <v>20.346236559139765</v>
      </c>
      <c r="IZ94" s="316">
        <v>20.133870967741942</v>
      </c>
      <c r="JA94" s="316">
        <v>19.249731182795699</v>
      </c>
      <c r="JB94" s="316">
        <v>18.62190860215054</v>
      </c>
      <c r="JC94" s="316">
        <v>19.94825268817203</v>
      </c>
      <c r="JD94" s="316">
        <v>19.569623655913979</v>
      </c>
      <c r="JE94" s="316">
        <v>17.765725806451591</v>
      </c>
      <c r="JF94" s="316">
        <v>19.283736559139811</v>
      </c>
      <c r="JG94" s="316">
        <v>19.587231182795694</v>
      </c>
      <c r="JH94" s="316">
        <v>18.32795698924733</v>
      </c>
      <c r="JI94" s="316">
        <v>16.898790322580641</v>
      </c>
      <c r="JJ94" s="316">
        <v>18.98763440860214</v>
      </c>
      <c r="JK94" s="316">
        <v>17.940053763440851</v>
      </c>
      <c r="JL94" s="316">
        <v>19.957392473118251</v>
      </c>
      <c r="JM94" s="316">
        <v>20.421639784946251</v>
      </c>
      <c r="JN94" s="316">
        <v>18.794892473118281</v>
      </c>
      <c r="JO94" s="316">
        <v>19.222311827957011</v>
      </c>
      <c r="JP94" s="316">
        <v>18.242069892473122</v>
      </c>
      <c r="JQ94" s="316">
        <v>20.36653225806451</v>
      </c>
      <c r="JR94" s="316">
        <v>18.776209677419352</v>
      </c>
      <c r="JS94" s="316">
        <v>19.778629032258074</v>
      </c>
      <c r="JT94" s="316">
        <v>20.083602150537644</v>
      </c>
      <c r="JU94" s="316">
        <v>18.882661290322595</v>
      </c>
      <c r="JV94" s="316">
        <v>18.631854838709664</v>
      </c>
      <c r="JW94" s="316">
        <v>19.217607526881718</v>
      </c>
      <c r="JX94" s="316">
        <v>19.207392473118272</v>
      </c>
      <c r="JY94" s="316">
        <v>17.526612903225811</v>
      </c>
      <c r="JZ94" s="316">
        <v>15.473118279569892</v>
      </c>
      <c r="KA94" s="316">
        <v>18.440456989247306</v>
      </c>
      <c r="KB94" s="316">
        <v>18.135349462365593</v>
      </c>
      <c r="KC94" s="316">
        <v>19.455645161290331</v>
      </c>
      <c r="KD94" s="316">
        <v>18.770295698924723</v>
      </c>
      <c r="KE94" s="316">
        <v>17.058198924731208</v>
      </c>
      <c r="KF94" s="316">
        <v>18.350537634408592</v>
      </c>
      <c r="KG94" s="316">
        <v>19.504838709677426</v>
      </c>
      <c r="KH94" s="316">
        <v>19.704301075268805</v>
      </c>
      <c r="KI94" s="316">
        <v>19.037903225806449</v>
      </c>
      <c r="KJ94" s="316">
        <v>19.692473118279587</v>
      </c>
      <c r="KK94" s="316">
        <v>18.995026881720438</v>
      </c>
      <c r="KL94" s="316">
        <v>18.684005376344075</v>
      </c>
      <c r="KM94" s="316">
        <v>16.878629032258068</v>
      </c>
      <c r="KN94" s="316">
        <v>20.200134408602139</v>
      </c>
      <c r="KO94" s="316">
        <v>19.719623655913974</v>
      </c>
      <c r="KP94" s="316">
        <v>17.741263440860195</v>
      </c>
      <c r="KQ94" s="316">
        <v>18.258467741935462</v>
      </c>
      <c r="KR94" s="316">
        <v>18.032258064516132</v>
      </c>
    </row>
    <row r="95" spans="1:304" s="315" customFormat="1" x14ac:dyDescent="0.25">
      <c r="A95" s="310">
        <v>2021</v>
      </c>
      <c r="B95" s="310">
        <v>8</v>
      </c>
      <c r="C95" s="316">
        <v>9.6000000000000032</v>
      </c>
      <c r="D95" s="316">
        <v>15.630645161290321</v>
      </c>
      <c r="E95" s="316">
        <v>15.273252688172038</v>
      </c>
      <c r="F95" s="316">
        <v>14.786021505376343</v>
      </c>
      <c r="G95" s="316">
        <v>14.372715053763452</v>
      </c>
      <c r="H95" s="316">
        <v>15.06048387096776</v>
      </c>
      <c r="I95" s="316">
        <v>10.941397849462355</v>
      </c>
      <c r="J95" s="316">
        <v>11.098790322580641</v>
      </c>
      <c r="K95" s="316">
        <v>14.479973118279565</v>
      </c>
      <c r="L95" s="316">
        <v>14.451075268817183</v>
      </c>
      <c r="M95" s="316">
        <v>14.052419354838712</v>
      </c>
      <c r="N95" s="316">
        <v>14.660349462365586</v>
      </c>
      <c r="O95" s="316">
        <v>12.344220430107523</v>
      </c>
      <c r="P95" s="316">
        <v>15.76639784946236</v>
      </c>
      <c r="Q95" s="316">
        <v>13.006720430107526</v>
      </c>
      <c r="R95" s="316">
        <v>14.66801075268817</v>
      </c>
      <c r="S95" s="316">
        <v>13.516397849462381</v>
      </c>
      <c r="T95" s="316">
        <v>16.233870967741936</v>
      </c>
      <c r="U95" s="316">
        <v>13.5464</v>
      </c>
      <c r="V95" s="316">
        <v>14.216397849462361</v>
      </c>
      <c r="W95" s="316">
        <v>15.027419354838706</v>
      </c>
      <c r="X95" s="316">
        <v>14.836155913978487</v>
      </c>
      <c r="Y95" s="316">
        <v>15.688037634408589</v>
      </c>
      <c r="Z95" s="316">
        <v>11.80631720430109</v>
      </c>
      <c r="AA95" s="316">
        <v>16.571774193548375</v>
      </c>
      <c r="AB95" s="316">
        <v>15.951612903225787</v>
      </c>
      <c r="AC95" s="316">
        <v>13.890591397849459</v>
      </c>
      <c r="AD95" s="316">
        <v>14.501075268817186</v>
      </c>
      <c r="AE95" s="316">
        <v>15.579973118279552</v>
      </c>
      <c r="AF95" s="316">
        <v>14.207795698924725</v>
      </c>
      <c r="AG95" s="316">
        <v>13.752553763440874</v>
      </c>
      <c r="AH95" s="316">
        <v>12.04529569892471</v>
      </c>
      <c r="AI95" s="316">
        <v>12.984005376344092</v>
      </c>
      <c r="AJ95" s="316">
        <v>14.049059139784953</v>
      </c>
      <c r="AK95" s="316">
        <v>14.452284946236555</v>
      </c>
      <c r="AL95" s="316">
        <v>14.937903225806444</v>
      </c>
      <c r="AM95" s="316">
        <v>14.952284946236555</v>
      </c>
      <c r="AN95" s="316">
        <v>15.861021505376343</v>
      </c>
      <c r="AO95" s="316">
        <v>14.59905913978494</v>
      </c>
      <c r="AP95" s="316">
        <v>14.102553763440868</v>
      </c>
      <c r="AQ95" s="316">
        <v>16.310618279569894</v>
      </c>
      <c r="AR95" s="316">
        <v>14.120161290322567</v>
      </c>
      <c r="AS95" s="316">
        <v>16.708602150537629</v>
      </c>
      <c r="AT95" s="316">
        <v>13.835483870967741</v>
      </c>
      <c r="AU95" s="316">
        <v>13.790860215053771</v>
      </c>
      <c r="AV95" s="316">
        <v>14.428091397849469</v>
      </c>
      <c r="AW95" s="316">
        <v>14.691263440860199</v>
      </c>
      <c r="AX95" s="316">
        <v>14.842741935483863</v>
      </c>
      <c r="AY95" s="316">
        <v>14.645430107526877</v>
      </c>
      <c r="AZ95" s="316">
        <v>12.066801075268808</v>
      </c>
      <c r="BA95" s="316">
        <v>14.688844086021538</v>
      </c>
      <c r="BB95" s="316">
        <v>11.696774193548389</v>
      </c>
      <c r="BC95" s="316">
        <v>12.915322580645181</v>
      </c>
      <c r="BD95" s="316">
        <v>14.492204301075274</v>
      </c>
      <c r="BE95" s="316">
        <v>14.633467741935457</v>
      </c>
      <c r="BF95" s="316">
        <v>14.981182795698921</v>
      </c>
      <c r="BG95" s="316">
        <v>11.205241935483865</v>
      </c>
      <c r="BH95" s="316">
        <v>10.602553763440868</v>
      </c>
      <c r="BI95" s="316">
        <v>14.7494623655914</v>
      </c>
      <c r="BJ95" s="316">
        <v>16.107526881720432</v>
      </c>
      <c r="BK95" s="316">
        <v>15.088172043010761</v>
      </c>
      <c r="BL95" s="316">
        <v>15.252553763440877</v>
      </c>
      <c r="BM95" s="316">
        <v>13.587096774193533</v>
      </c>
      <c r="BN95" s="316">
        <v>14.42379032258064</v>
      </c>
      <c r="BO95" s="316">
        <v>14.413575268817201</v>
      </c>
      <c r="BP95" s="316">
        <v>16.218682795698928</v>
      </c>
      <c r="BQ95" s="316">
        <v>12.497715053763443</v>
      </c>
      <c r="BR95" s="316">
        <v>15.462231182795698</v>
      </c>
      <c r="BS95" s="316">
        <v>14.88131720430107</v>
      </c>
      <c r="BT95" s="316">
        <v>13.380510752688165</v>
      </c>
      <c r="BU95" s="316">
        <v>10.742607526881711</v>
      </c>
      <c r="BV95" s="316">
        <v>13.947580645161301</v>
      </c>
      <c r="BW95" s="316">
        <v>16.157392473118271</v>
      </c>
      <c r="BX95" s="316">
        <v>9.7876344086021589</v>
      </c>
      <c r="BY95" s="316">
        <v>16.033333333333346</v>
      </c>
      <c r="BZ95" s="316">
        <v>14.368548387096769</v>
      </c>
      <c r="CA95" s="316">
        <v>15.071370967741936</v>
      </c>
      <c r="CB95" s="316">
        <v>13.824193548387118</v>
      </c>
      <c r="CC95" s="316">
        <v>14.660887096774189</v>
      </c>
      <c r="CD95" s="316">
        <v>15.184811827956967</v>
      </c>
      <c r="CE95" s="316">
        <v>14.57217741935483</v>
      </c>
      <c r="CF95" s="316">
        <v>14.650940860215048</v>
      </c>
      <c r="CG95" s="316">
        <v>14.668951612903237</v>
      </c>
      <c r="CH95" s="316">
        <v>13.684408602150524</v>
      </c>
      <c r="CI95" s="316">
        <v>14.681586021505387</v>
      </c>
      <c r="CJ95" s="316">
        <v>15.471370967741919</v>
      </c>
      <c r="CK95" s="316">
        <v>14.894354838709692</v>
      </c>
      <c r="CL95" s="316">
        <v>16.222715053763455</v>
      </c>
      <c r="CM95" s="316">
        <v>14.931586021505368</v>
      </c>
      <c r="CN95" s="316">
        <v>15.227553763440868</v>
      </c>
      <c r="CO95" s="316">
        <v>15.210483870967742</v>
      </c>
      <c r="CP95" s="316">
        <v>11.840591397849463</v>
      </c>
      <c r="CQ95" s="316">
        <v>13.068010752688194</v>
      </c>
      <c r="CR95" s="316">
        <v>15.65</v>
      </c>
      <c r="CS95" s="316">
        <v>14.484274193548398</v>
      </c>
      <c r="CT95" s="316">
        <v>12.94274193548387</v>
      </c>
      <c r="CU95" s="316">
        <v>15.970295698924708</v>
      </c>
      <c r="CV95" s="316">
        <v>10.603763440860229</v>
      </c>
      <c r="CW95" s="316">
        <v>15.300806451612885</v>
      </c>
      <c r="CX95" s="316">
        <v>15.191397849462378</v>
      </c>
      <c r="CY95" s="316">
        <v>14.01303763440861</v>
      </c>
      <c r="CZ95" s="316">
        <v>15.886827956989274</v>
      </c>
      <c r="DA95" s="316">
        <v>15.255779569892475</v>
      </c>
      <c r="DB95" s="316">
        <v>14.633602150537627</v>
      </c>
      <c r="DC95" s="316">
        <v>14.578360215053785</v>
      </c>
      <c r="DD95" s="316">
        <v>14.962365591397839</v>
      </c>
      <c r="DE95" s="316">
        <v>10.497715053763436</v>
      </c>
      <c r="DF95" s="316">
        <v>14.38400537634408</v>
      </c>
      <c r="DG95" s="316">
        <v>15.181989247311822</v>
      </c>
      <c r="DH95" s="316">
        <v>14.766532258064515</v>
      </c>
      <c r="DI95" s="316">
        <v>13.339516129032246</v>
      </c>
      <c r="DJ95" s="316">
        <v>13.898118279569896</v>
      </c>
      <c r="DK95" s="316">
        <v>15.600134408602148</v>
      </c>
      <c r="DL95" s="316">
        <v>14.820967741935489</v>
      </c>
      <c r="DM95" s="316">
        <v>14.527016129032265</v>
      </c>
      <c r="DN95" s="316">
        <v>15.925672043010737</v>
      </c>
      <c r="DO95" s="316">
        <v>15.00752688172043</v>
      </c>
      <c r="DP95" s="316">
        <v>15.511021505376339</v>
      </c>
      <c r="DQ95" s="316">
        <v>10.815725806451599</v>
      </c>
      <c r="DR95" s="316">
        <v>16.317338709677426</v>
      </c>
      <c r="DS95" s="316">
        <v>14.750268817204297</v>
      </c>
      <c r="DT95" s="316">
        <v>15.654838709677403</v>
      </c>
      <c r="DU95" s="316">
        <v>16.380779569892471</v>
      </c>
      <c r="DV95" s="316">
        <v>14.328360215053758</v>
      </c>
      <c r="DW95" s="316">
        <v>14.376478494623647</v>
      </c>
      <c r="DX95" s="316">
        <v>13.036021505376333</v>
      </c>
      <c r="DY95" s="316">
        <v>15.017741935483867</v>
      </c>
      <c r="DZ95" s="316">
        <v>14.292069892473119</v>
      </c>
      <c r="EA95" s="316">
        <v>15.552688172043016</v>
      </c>
      <c r="EB95" s="316">
        <v>15.259811827956993</v>
      </c>
      <c r="EC95" s="316">
        <v>15.018951612903239</v>
      </c>
      <c r="ED95" s="316">
        <v>14.0763440860215</v>
      </c>
      <c r="EE95" s="316">
        <v>15.476075268817212</v>
      </c>
      <c r="EF95" s="316">
        <v>14.568279569892475</v>
      </c>
      <c r="EG95" s="316">
        <v>13.390053763440887</v>
      </c>
      <c r="EH95" s="316">
        <v>16.577284946236556</v>
      </c>
      <c r="EI95" s="316">
        <v>13.506048387096769</v>
      </c>
      <c r="EJ95" s="316">
        <v>13.610080645161291</v>
      </c>
      <c r="EK95" s="316">
        <v>16.319489247311832</v>
      </c>
      <c r="EL95" s="316">
        <v>12.340725806451621</v>
      </c>
      <c r="EM95" s="316">
        <v>15.629973118279576</v>
      </c>
      <c r="EN95" s="316">
        <v>14.505241935483854</v>
      </c>
      <c r="EO95" s="316">
        <v>16.63225806451614</v>
      </c>
      <c r="EP95" s="316">
        <v>12.434408602150539</v>
      </c>
      <c r="EQ95" s="316">
        <v>11.553494623655933</v>
      </c>
      <c r="ER95" s="316">
        <v>15.392473118279556</v>
      </c>
      <c r="ES95" s="316">
        <v>14.575134408602155</v>
      </c>
      <c r="ET95" s="316">
        <v>15.469758064516132</v>
      </c>
      <c r="EU95" s="316">
        <v>14.873118279569889</v>
      </c>
      <c r="EV95" s="316">
        <v>13.37056451612902</v>
      </c>
      <c r="EW95" s="316">
        <v>15.157123655913971</v>
      </c>
      <c r="EX95" s="316">
        <v>14.906720430107542</v>
      </c>
      <c r="EY95" s="316">
        <v>13.932930107526888</v>
      </c>
      <c r="EZ95" s="316">
        <v>14.935080645161284</v>
      </c>
      <c r="FA95" s="316">
        <v>15.792338709677422</v>
      </c>
      <c r="FB95" s="316">
        <v>15.791935483870986</v>
      </c>
      <c r="FC95" s="316">
        <v>16.289650537634415</v>
      </c>
      <c r="FD95" s="316">
        <v>15.583333333333327</v>
      </c>
      <c r="FE95" s="316">
        <v>13.991935483870961</v>
      </c>
      <c r="FF95" s="316">
        <v>14.080241935483874</v>
      </c>
      <c r="FG95" s="316">
        <v>13.785215053763446</v>
      </c>
      <c r="FH95" s="316">
        <v>13.802956989247324</v>
      </c>
      <c r="FI95" s="316">
        <v>15.214112903225798</v>
      </c>
      <c r="FJ95" s="316">
        <v>14.987634408602156</v>
      </c>
      <c r="FK95" s="316">
        <v>11.920564516129023</v>
      </c>
      <c r="FL95" s="316">
        <v>14.8202</v>
      </c>
      <c r="FM95" s="316">
        <v>14.878225806451622</v>
      </c>
      <c r="FN95" s="316">
        <v>15.031182795698918</v>
      </c>
      <c r="FO95" s="316">
        <v>15.372043010752687</v>
      </c>
      <c r="FP95" s="316">
        <v>13.823521505376331</v>
      </c>
      <c r="FQ95" s="316">
        <v>13.882930107526903</v>
      </c>
      <c r="FR95" s="316">
        <v>14.84637096774193</v>
      </c>
      <c r="FS95" s="316">
        <v>13.063709677419354</v>
      </c>
      <c r="FT95" s="316">
        <v>15.306451612903221</v>
      </c>
      <c r="FU95" s="316">
        <v>14.542338709677415</v>
      </c>
      <c r="FV95" s="316">
        <v>15.558736559139771</v>
      </c>
      <c r="FW95" s="316">
        <v>15.428225806451614</v>
      </c>
      <c r="FX95" s="316">
        <v>11.681586021505369</v>
      </c>
      <c r="FY95" s="316">
        <v>15.433467741935486</v>
      </c>
      <c r="FZ95" s="316">
        <v>13.084677419354822</v>
      </c>
      <c r="GA95" s="316">
        <v>9.5861559139785033</v>
      </c>
      <c r="GB95" s="316">
        <v>13.128897849462362</v>
      </c>
      <c r="GC95" s="316">
        <v>15.293145161290326</v>
      </c>
      <c r="GD95" s="316">
        <v>13.056317204301058</v>
      </c>
      <c r="GE95" s="316">
        <v>14.25793010752691</v>
      </c>
      <c r="GF95" s="316">
        <v>15.333736559139767</v>
      </c>
      <c r="GG95" s="316">
        <v>14.39569892473118</v>
      </c>
      <c r="GH95" s="316">
        <v>14.956317204301072</v>
      </c>
      <c r="GI95" s="316">
        <v>15.804704301075279</v>
      </c>
      <c r="GJ95" s="316">
        <v>15.519623655913978</v>
      </c>
      <c r="GK95" s="316">
        <v>14.831317204301079</v>
      </c>
      <c r="GL95" s="316">
        <v>13.317473118279576</v>
      </c>
      <c r="GM95" s="316">
        <v>13.952688172043015</v>
      </c>
      <c r="GN95" s="316">
        <v>15.79946236559141</v>
      </c>
      <c r="GO95" s="316">
        <v>14.920026881720425</v>
      </c>
      <c r="GP95" s="316">
        <v>14.537500000000007</v>
      </c>
      <c r="GQ95" s="316">
        <v>13.780241935483874</v>
      </c>
      <c r="GR95" s="316">
        <v>12.788978494623651</v>
      </c>
      <c r="GS95" s="316">
        <v>15.465456989247313</v>
      </c>
      <c r="GT95" s="316">
        <v>15.737768817204286</v>
      </c>
      <c r="GU95" s="316">
        <v>11.216666666666672</v>
      </c>
      <c r="GV95" s="316">
        <v>16.032392473118271</v>
      </c>
      <c r="GW95" s="316">
        <v>16.248118279569901</v>
      </c>
      <c r="GX95" s="316">
        <v>15.371236559139795</v>
      </c>
      <c r="GY95" s="316">
        <v>15.597715053763423</v>
      </c>
      <c r="GZ95" s="316">
        <v>15.766532258064498</v>
      </c>
      <c r="HA95" s="316">
        <v>14.089784946236563</v>
      </c>
      <c r="HB95" s="316">
        <v>9.5131720430107549</v>
      </c>
      <c r="HC95" s="316">
        <v>11.473252688172044</v>
      </c>
      <c r="HD95" s="316">
        <v>14.845967741935498</v>
      </c>
      <c r="HE95" s="316">
        <v>16.073790322580642</v>
      </c>
      <c r="HF95" s="316">
        <v>12.160349462365593</v>
      </c>
      <c r="HG95" s="316">
        <v>15.71747311827955</v>
      </c>
      <c r="HH95" s="316">
        <v>14.264247311827946</v>
      </c>
      <c r="HI95" s="316">
        <v>14.094354838709675</v>
      </c>
      <c r="HJ95" s="316">
        <v>14.18978494623653</v>
      </c>
      <c r="HK95" s="316">
        <v>15.891935483870968</v>
      </c>
      <c r="HL95" s="316">
        <v>16.123655913978507</v>
      </c>
      <c r="HM95" s="316">
        <v>11.593279569892482</v>
      </c>
      <c r="HN95" s="316">
        <v>14.314112903225817</v>
      </c>
      <c r="HO95" s="316">
        <v>11.399462365591377</v>
      </c>
      <c r="HP95" s="316">
        <v>15.344220430107535</v>
      </c>
      <c r="HQ95" s="316">
        <v>14.937231182795713</v>
      </c>
      <c r="HR95" s="316">
        <v>11.307795698924732</v>
      </c>
      <c r="HS95" s="316">
        <v>11.18454301075268</v>
      </c>
      <c r="HT95" s="316">
        <v>13.766397849462374</v>
      </c>
      <c r="HU95" s="316">
        <v>13.771908602150539</v>
      </c>
      <c r="HV95" s="316">
        <v>14.856317204301092</v>
      </c>
      <c r="HW95" s="316">
        <v>15.175672043010774</v>
      </c>
      <c r="HX95" s="316">
        <v>15.112499999999981</v>
      </c>
      <c r="HY95" s="316">
        <v>15.631182795698928</v>
      </c>
      <c r="HZ95" s="316">
        <v>15.532930107526875</v>
      </c>
      <c r="IA95" s="316">
        <v>14.806182795698929</v>
      </c>
      <c r="IB95" s="316">
        <v>14.425000000000004</v>
      </c>
      <c r="IC95" s="316">
        <v>14.4155</v>
      </c>
      <c r="ID95" s="316">
        <v>14.069758064516137</v>
      </c>
      <c r="IE95" s="316">
        <v>14.340994623655918</v>
      </c>
      <c r="IF95" s="316">
        <v>16.11868279569893</v>
      </c>
      <c r="IG95" s="316">
        <v>15.584408602150553</v>
      </c>
      <c r="IH95" s="316">
        <v>13.90577956989247</v>
      </c>
      <c r="II95" s="316">
        <v>15.6327</v>
      </c>
      <c r="IJ95" s="316">
        <v>14.209811827956994</v>
      </c>
      <c r="IK95" s="316">
        <v>14.381317204301064</v>
      </c>
      <c r="IL95" s="316">
        <v>16.42674731182796</v>
      </c>
      <c r="IM95" s="316">
        <v>15.076209677419378</v>
      </c>
      <c r="IN95" s="316">
        <v>15.033198924731161</v>
      </c>
      <c r="IO95" s="316">
        <v>15.329301075268814</v>
      </c>
      <c r="IP95" s="316">
        <v>15.384811827956977</v>
      </c>
      <c r="IQ95" s="316">
        <v>10.051747311827956</v>
      </c>
      <c r="IR95" s="316">
        <v>14.393279569892467</v>
      </c>
      <c r="IS95" s="316">
        <v>14.861559139784944</v>
      </c>
      <c r="IT95" s="316">
        <v>15.178225806451604</v>
      </c>
      <c r="IU95" s="316">
        <v>14.899462365591406</v>
      </c>
      <c r="IV95" s="316">
        <v>13.889650537634401</v>
      </c>
      <c r="IW95" s="316">
        <v>14.052419354838712</v>
      </c>
      <c r="IX95" s="316">
        <v>15.340322580645168</v>
      </c>
      <c r="IY95" s="316">
        <v>15.120698924731172</v>
      </c>
      <c r="IZ95" s="316">
        <v>15.000806451612894</v>
      </c>
      <c r="JA95" s="316">
        <v>15.322983870967738</v>
      </c>
      <c r="JB95" s="316">
        <v>14.303091397849474</v>
      </c>
      <c r="JC95" s="316">
        <v>15.351209677419364</v>
      </c>
      <c r="JD95" s="316">
        <v>14.584408602150525</v>
      </c>
      <c r="JE95" s="316">
        <v>12.762500000000001</v>
      </c>
      <c r="JF95" s="316">
        <v>15.005913978494629</v>
      </c>
      <c r="JG95" s="316">
        <v>16.356048387096777</v>
      </c>
      <c r="JH95" s="316">
        <v>13.955241935483844</v>
      </c>
      <c r="JI95" s="316">
        <v>11.374193548387087</v>
      </c>
      <c r="JJ95" s="316">
        <v>14.519892473118299</v>
      </c>
      <c r="JK95" s="316">
        <v>12.356720430107526</v>
      </c>
      <c r="JL95" s="316">
        <v>14.677956989247324</v>
      </c>
      <c r="JM95" s="316">
        <v>15.860215053763431</v>
      </c>
      <c r="JN95" s="316">
        <v>14.343548387096799</v>
      </c>
      <c r="JO95" s="316">
        <v>15.168010752688183</v>
      </c>
      <c r="JP95" s="316">
        <v>12.787634408602161</v>
      </c>
      <c r="JQ95" s="316">
        <v>15.416935483870962</v>
      </c>
      <c r="JR95" s="316">
        <v>14.654435483870973</v>
      </c>
      <c r="JS95" s="316">
        <v>15.64663978494622</v>
      </c>
      <c r="JT95" s="316">
        <v>14.859408602150522</v>
      </c>
      <c r="JU95" s="316">
        <v>14.481451612903237</v>
      </c>
      <c r="JV95" s="316">
        <v>14.188978494623676</v>
      </c>
      <c r="JW95" s="316">
        <v>15.779569892473098</v>
      </c>
      <c r="JX95" s="316">
        <v>15.160752688172053</v>
      </c>
      <c r="JY95" s="316">
        <v>12.514784946236567</v>
      </c>
      <c r="JZ95" s="316">
        <v>10.787231182795701</v>
      </c>
      <c r="KA95" s="316">
        <v>14.23763440860214</v>
      </c>
      <c r="KB95" s="316">
        <v>13.832930107526883</v>
      </c>
      <c r="KC95" s="316">
        <v>14.569892473118273</v>
      </c>
      <c r="KD95" s="316">
        <v>14.339784946236573</v>
      </c>
      <c r="KE95" s="316">
        <v>12.259677419354844</v>
      </c>
      <c r="KF95" s="316">
        <v>12.513844086021495</v>
      </c>
      <c r="KG95" s="316">
        <v>15.800403225806459</v>
      </c>
      <c r="KH95" s="316">
        <v>16.553494623655887</v>
      </c>
      <c r="KI95" s="316">
        <v>14.884005376344099</v>
      </c>
      <c r="KJ95" s="316">
        <v>14.814784946236554</v>
      </c>
      <c r="KK95" s="316">
        <v>14.818145161290312</v>
      </c>
      <c r="KL95" s="316">
        <v>13.716532258064504</v>
      </c>
      <c r="KM95" s="316">
        <v>11.891397849462368</v>
      </c>
      <c r="KN95" s="316">
        <v>15.159408602150517</v>
      </c>
      <c r="KO95" s="316">
        <v>15.004704301075277</v>
      </c>
      <c r="KP95" s="316">
        <v>13.473387096774188</v>
      </c>
      <c r="KQ95" s="316">
        <v>13.021639784946252</v>
      </c>
      <c r="KR95" s="316">
        <v>12.965860215053761</v>
      </c>
    </row>
    <row r="96" spans="1:304" s="315" customFormat="1" x14ac:dyDescent="0.25">
      <c r="A96" s="310">
        <v>2021</v>
      </c>
      <c r="B96" s="310">
        <v>9</v>
      </c>
      <c r="C96" s="316">
        <v>5.3136111111111139</v>
      </c>
      <c r="D96" s="316">
        <v>12.319166666666662</v>
      </c>
      <c r="E96" s="316">
        <v>12.739166666666662</v>
      </c>
      <c r="F96" s="316">
        <v>12.20166666666667</v>
      </c>
      <c r="G96" s="316">
        <v>12.216388888888876</v>
      </c>
      <c r="H96" s="316">
        <v>11.999722222222228</v>
      </c>
      <c r="I96" s="316">
        <v>6.1252777777777867</v>
      </c>
      <c r="J96" s="316">
        <v>6.0343055555555525</v>
      </c>
      <c r="K96" s="316">
        <v>11.553749999999996</v>
      </c>
      <c r="L96" s="316">
        <v>11.809583333333332</v>
      </c>
      <c r="M96" s="316">
        <v>10.87388888888889</v>
      </c>
      <c r="N96" s="316">
        <v>12.058611111111107</v>
      </c>
      <c r="O96" s="316">
        <v>7.2111111111111112</v>
      </c>
      <c r="P96" s="316">
        <v>14.233194444444443</v>
      </c>
      <c r="Q96" s="316">
        <v>7.4586111111111055</v>
      </c>
      <c r="R96" s="316">
        <v>12.043194444444442</v>
      </c>
      <c r="S96" s="316">
        <v>9.9749999999999837</v>
      </c>
      <c r="T96" s="316">
        <v>13.689027777777763</v>
      </c>
      <c r="U96" s="316">
        <v>10.398999999999999</v>
      </c>
      <c r="V96" s="316">
        <v>11.746249999999996</v>
      </c>
      <c r="W96" s="316">
        <v>11.71013888888889</v>
      </c>
      <c r="X96" s="316">
        <v>13.0561111111111</v>
      </c>
      <c r="Y96" s="316">
        <v>13.893333333333322</v>
      </c>
      <c r="Z96" s="316">
        <v>7.9320833333333258</v>
      </c>
      <c r="AA96" s="316">
        <v>15.048611111111105</v>
      </c>
      <c r="AB96" s="316">
        <v>14.013750000000009</v>
      </c>
      <c r="AC96" s="316">
        <v>11.025555555555554</v>
      </c>
      <c r="AD96" s="316">
        <v>11.96111111111111</v>
      </c>
      <c r="AE96" s="316">
        <v>12.099027777777769</v>
      </c>
      <c r="AF96" s="316">
        <v>11.259444444444439</v>
      </c>
      <c r="AG96" s="316">
        <v>9.8623611111111114</v>
      </c>
      <c r="AH96" s="316">
        <v>7.5147222222222192</v>
      </c>
      <c r="AI96" s="316">
        <v>9.5356944444444522</v>
      </c>
      <c r="AJ96" s="316">
        <v>11.613194444444447</v>
      </c>
      <c r="AK96" s="316">
        <v>12.31472222222223</v>
      </c>
      <c r="AL96" s="316">
        <v>11.630416666666662</v>
      </c>
      <c r="AM96" s="316">
        <v>11.923611111111116</v>
      </c>
      <c r="AN96" s="316">
        <v>14.41944444444446</v>
      </c>
      <c r="AO96" s="316">
        <v>12.102361111111138</v>
      </c>
      <c r="AP96" s="316">
        <v>10.932361111111115</v>
      </c>
      <c r="AQ96" s="316">
        <v>13.871388888888889</v>
      </c>
      <c r="AR96" s="316">
        <v>11.578472222222215</v>
      </c>
      <c r="AS96" s="316">
        <v>15.274722222222204</v>
      </c>
      <c r="AT96" s="316">
        <v>10.53222222222222</v>
      </c>
      <c r="AU96" s="316">
        <v>10.834444444444459</v>
      </c>
      <c r="AV96" s="316">
        <v>10.682777777777774</v>
      </c>
      <c r="AW96" s="316">
        <v>12.086805555555554</v>
      </c>
      <c r="AX96" s="316">
        <v>11.899583333333332</v>
      </c>
      <c r="AY96" s="316">
        <v>11.678750000000008</v>
      </c>
      <c r="AZ96" s="316">
        <v>6.9726388888888913</v>
      </c>
      <c r="BA96" s="316">
        <v>12.172916666666653</v>
      </c>
      <c r="BB96" s="316">
        <v>7.6284722222222232</v>
      </c>
      <c r="BC96" s="316">
        <v>9.769861111111112</v>
      </c>
      <c r="BD96" s="316">
        <v>11.951388888888898</v>
      </c>
      <c r="BE96" s="316">
        <v>11.648333333333337</v>
      </c>
      <c r="BF96" s="316">
        <v>12.495138888888894</v>
      </c>
      <c r="BG96" s="316">
        <v>6.4765277777777808</v>
      </c>
      <c r="BH96" s="316">
        <v>5.5619444444444524</v>
      </c>
      <c r="BI96" s="316">
        <v>11.253472222222227</v>
      </c>
      <c r="BJ96" s="316">
        <v>13.759722222222225</v>
      </c>
      <c r="BK96" s="316">
        <v>12.496805555555557</v>
      </c>
      <c r="BL96" s="316">
        <v>11.781944444444441</v>
      </c>
      <c r="BM96" s="316">
        <v>10.478888888888898</v>
      </c>
      <c r="BN96" s="316">
        <v>11.743611111111113</v>
      </c>
      <c r="BO96" s="316">
        <v>11.375138888888895</v>
      </c>
      <c r="BP96" s="316">
        <v>13.913888888888907</v>
      </c>
      <c r="BQ96" s="316">
        <v>8.1251388888888805</v>
      </c>
      <c r="BR96" s="316">
        <v>12.626527777777769</v>
      </c>
      <c r="BS96" s="316">
        <v>11.55041666666666</v>
      </c>
      <c r="BT96" s="316">
        <v>7.1848611111111156</v>
      </c>
      <c r="BU96" s="316">
        <v>7.5766666666666653</v>
      </c>
      <c r="BV96" s="316">
        <v>10.746111111111109</v>
      </c>
      <c r="BW96" s="316">
        <v>14.713055555555542</v>
      </c>
      <c r="BX96" s="316">
        <v>5.2527777777777738</v>
      </c>
      <c r="BY96" s="316">
        <v>12.805833333333355</v>
      </c>
      <c r="BZ96" s="316">
        <v>11.926666666666662</v>
      </c>
      <c r="CA96" s="316">
        <v>12.440277777777785</v>
      </c>
      <c r="CB96" s="316">
        <v>10.437361111111111</v>
      </c>
      <c r="CC96" s="316">
        <v>12.0863888888889</v>
      </c>
      <c r="CD96" s="316">
        <v>11.85388888888888</v>
      </c>
      <c r="CE96" s="316">
        <v>10.565694444444452</v>
      </c>
      <c r="CF96" s="316">
        <v>12.226666666666642</v>
      </c>
      <c r="CG96" s="316">
        <v>12.312500000000011</v>
      </c>
      <c r="CH96" s="316">
        <v>10.699444444444447</v>
      </c>
      <c r="CI96" s="316">
        <v>10.052638888888891</v>
      </c>
      <c r="CJ96" s="316">
        <v>13.068472222222226</v>
      </c>
      <c r="CK96" s="316">
        <v>13.200416666666651</v>
      </c>
      <c r="CL96" s="316">
        <v>14.634583333333342</v>
      </c>
      <c r="CM96" s="316">
        <v>12.677638888888888</v>
      </c>
      <c r="CN96" s="316">
        <v>13.804722222222221</v>
      </c>
      <c r="CO96" s="316">
        <v>13.7675</v>
      </c>
      <c r="CP96" s="316">
        <v>6.7581944444444506</v>
      </c>
      <c r="CQ96" s="316">
        <v>8.2026388888889041</v>
      </c>
      <c r="CR96" s="316">
        <v>12.209999999999996</v>
      </c>
      <c r="CS96" s="316">
        <v>12.120972222222223</v>
      </c>
      <c r="CT96" s="316">
        <v>6.8597222222222234</v>
      </c>
      <c r="CU96" s="316">
        <v>13.57375</v>
      </c>
      <c r="CV96" s="316">
        <v>5.2136111111111099</v>
      </c>
      <c r="CW96" s="316">
        <v>12.748888888888887</v>
      </c>
      <c r="CX96" s="316">
        <v>13.439305555555555</v>
      </c>
      <c r="CY96" s="316">
        <v>11.071666666666658</v>
      </c>
      <c r="CZ96" s="316">
        <v>13.790138888888901</v>
      </c>
      <c r="DA96" s="316">
        <v>12.311944444444444</v>
      </c>
      <c r="DB96" s="316">
        <v>11.879027777777784</v>
      </c>
      <c r="DC96" s="316">
        <v>11.658611111111123</v>
      </c>
      <c r="DD96" s="316">
        <v>12.236527777777779</v>
      </c>
      <c r="DE96" s="316">
        <v>5.4083333333333421</v>
      </c>
      <c r="DF96" s="316">
        <v>11.794027777777766</v>
      </c>
      <c r="DG96" s="316">
        <v>13.572361111111114</v>
      </c>
      <c r="DH96" s="316">
        <v>11.185694444444451</v>
      </c>
      <c r="DI96" s="316">
        <v>10.28416666666666</v>
      </c>
      <c r="DJ96" s="316">
        <v>9.1352777777777767</v>
      </c>
      <c r="DK96" s="316">
        <v>13.771944444444433</v>
      </c>
      <c r="DL96" s="316">
        <v>11.776527777777789</v>
      </c>
      <c r="DM96" s="316">
        <v>11.805555555555555</v>
      </c>
      <c r="DN96" s="316">
        <v>13.509722222222223</v>
      </c>
      <c r="DO96" s="316">
        <v>11.992777777777789</v>
      </c>
      <c r="DP96" s="316">
        <v>13.016805555555546</v>
      </c>
      <c r="DQ96" s="316">
        <v>5.9009722222222223</v>
      </c>
      <c r="DR96" s="316">
        <v>14.823472222222209</v>
      </c>
      <c r="DS96" s="316">
        <v>11.708888888888881</v>
      </c>
      <c r="DT96" s="316">
        <v>13.616388888888896</v>
      </c>
      <c r="DU96" s="316">
        <v>14.998888888888887</v>
      </c>
      <c r="DV96" s="316">
        <v>11.635138888888887</v>
      </c>
      <c r="DW96" s="316">
        <v>11.580000000000021</v>
      </c>
      <c r="DX96" s="316">
        <v>9.9140277777777772</v>
      </c>
      <c r="DY96" s="316">
        <v>12.515277777777742</v>
      </c>
      <c r="DZ96" s="316">
        <v>12.143333333333329</v>
      </c>
      <c r="EA96" s="316">
        <v>12.092222222222226</v>
      </c>
      <c r="EB96" s="316">
        <v>12.609444444444438</v>
      </c>
      <c r="EC96" s="316">
        <v>12.480694444444442</v>
      </c>
      <c r="ED96" s="316">
        <v>10.983333333333333</v>
      </c>
      <c r="EE96" s="316">
        <v>12.85819444444444</v>
      </c>
      <c r="EF96" s="316">
        <v>12.366666666666672</v>
      </c>
      <c r="EG96" s="316">
        <v>9.5459722222222183</v>
      </c>
      <c r="EH96" s="316">
        <v>15.069166666666666</v>
      </c>
      <c r="EI96" s="316">
        <v>10.458333333333355</v>
      </c>
      <c r="EJ96" s="316">
        <v>8.1431944444444397</v>
      </c>
      <c r="EK96" s="316">
        <v>14.819861111111118</v>
      </c>
      <c r="EL96" s="316">
        <v>7.4697222222222166</v>
      </c>
      <c r="EM96" s="316">
        <v>13.480972222222224</v>
      </c>
      <c r="EN96" s="316">
        <v>11.869722222222228</v>
      </c>
      <c r="EO96" s="316">
        <v>15.095416666666649</v>
      </c>
      <c r="EP96" s="316">
        <v>9.2523611111111119</v>
      </c>
      <c r="EQ96" s="316">
        <v>6.4611111111111112</v>
      </c>
      <c r="ER96" s="316">
        <v>12.830000000000011</v>
      </c>
      <c r="ES96" s="316">
        <v>12.805277777777787</v>
      </c>
      <c r="ET96" s="316">
        <v>12.950833333333321</v>
      </c>
      <c r="EU96" s="316">
        <v>12.209583333333352</v>
      </c>
      <c r="EV96" s="316">
        <v>10.180694444444438</v>
      </c>
      <c r="EW96" s="316">
        <v>12.357361111111119</v>
      </c>
      <c r="EX96" s="316">
        <v>12.534444444444429</v>
      </c>
      <c r="EY96" s="316">
        <v>10.916527777777791</v>
      </c>
      <c r="EZ96" s="316">
        <v>11.322083333333333</v>
      </c>
      <c r="FA96" s="316">
        <v>13.41208333333333</v>
      </c>
      <c r="FB96" s="316">
        <v>13.421111111111129</v>
      </c>
      <c r="FC96" s="316">
        <v>13.764583333333331</v>
      </c>
      <c r="FD96" s="316">
        <v>12.181944444444465</v>
      </c>
      <c r="FE96" s="316">
        <v>10.983749999999992</v>
      </c>
      <c r="FF96" s="316">
        <v>10.89375000000001</v>
      </c>
      <c r="FG96" s="316">
        <v>9.7123611111111057</v>
      </c>
      <c r="FH96" s="316">
        <v>8.6294444444444434</v>
      </c>
      <c r="FI96" s="316">
        <v>12.512777777777783</v>
      </c>
      <c r="FJ96" s="316">
        <v>11.267638888888895</v>
      </c>
      <c r="FK96" s="316">
        <v>6.881805555555558</v>
      </c>
      <c r="FL96" s="316">
        <v>12.6785</v>
      </c>
      <c r="FM96" s="316">
        <v>11.741527777777767</v>
      </c>
      <c r="FN96" s="316">
        <v>12.088611111111103</v>
      </c>
      <c r="FO96" s="316">
        <v>12.149027777777777</v>
      </c>
      <c r="FP96" s="316">
        <v>11.484999999999994</v>
      </c>
      <c r="FQ96" s="316">
        <v>10.369444444444454</v>
      </c>
      <c r="FR96" s="316">
        <v>12.901111111111099</v>
      </c>
      <c r="FS96" s="316">
        <v>9.888333333333339</v>
      </c>
      <c r="FT96" s="316">
        <v>13.058333333333323</v>
      </c>
      <c r="FU96" s="316">
        <v>12.75402777777777</v>
      </c>
      <c r="FV96" s="316">
        <v>13.318333333333332</v>
      </c>
      <c r="FW96" s="316">
        <v>12.549722222222226</v>
      </c>
      <c r="FX96" s="316">
        <v>5.8984722222222246</v>
      </c>
      <c r="FY96" s="316">
        <v>12.997777777777779</v>
      </c>
      <c r="FZ96" s="316">
        <v>8.0122222222222295</v>
      </c>
      <c r="GA96" s="316">
        <v>5.5940277777777778</v>
      </c>
      <c r="GB96" s="316">
        <v>8.1797222222222086</v>
      </c>
      <c r="GC96" s="316">
        <v>13.430416666666654</v>
      </c>
      <c r="GD96" s="316">
        <v>9.9034722222222218</v>
      </c>
      <c r="GE96" s="316">
        <v>11.049027777777791</v>
      </c>
      <c r="GF96" s="316">
        <v>12.03180555555555</v>
      </c>
      <c r="GG96" s="316">
        <v>10.937638888888902</v>
      </c>
      <c r="GH96" s="316">
        <v>11.439166666666676</v>
      </c>
      <c r="GI96" s="316">
        <v>14.600555555555548</v>
      </c>
      <c r="GJ96" s="316">
        <v>13.995277777777781</v>
      </c>
      <c r="GK96" s="316">
        <v>12.226805555555552</v>
      </c>
      <c r="GL96" s="316">
        <v>8.185416666666665</v>
      </c>
      <c r="GM96" s="316">
        <v>10.836250000000007</v>
      </c>
      <c r="GN96" s="316">
        <v>14.292083333333307</v>
      </c>
      <c r="GO96" s="316">
        <v>11.496944444444447</v>
      </c>
      <c r="GP96" s="316">
        <v>11.889861111111113</v>
      </c>
      <c r="GQ96" s="316">
        <v>10.684861111111104</v>
      </c>
      <c r="GR96" s="316">
        <v>8.1829166666666691</v>
      </c>
      <c r="GS96" s="316">
        <v>11.989583333333329</v>
      </c>
      <c r="GT96" s="316">
        <v>12.296249999999993</v>
      </c>
      <c r="GU96" s="316">
        <v>6.594444444444453</v>
      </c>
      <c r="GV96" s="316">
        <v>13.940277777777778</v>
      </c>
      <c r="GW96" s="316">
        <v>14.739583333333353</v>
      </c>
      <c r="GX96" s="316">
        <v>13.022916666666674</v>
      </c>
      <c r="GY96" s="316">
        <v>12.20847222222222</v>
      </c>
      <c r="GZ96" s="316">
        <v>12.337916666666668</v>
      </c>
      <c r="HA96" s="316">
        <v>11.085277777777785</v>
      </c>
      <c r="HB96" s="316">
        <v>7.5077777777777861</v>
      </c>
      <c r="HC96" s="316">
        <v>6.9040277777777774</v>
      </c>
      <c r="HD96" s="316">
        <v>11.774166666666677</v>
      </c>
      <c r="HE96" s="316">
        <v>13.522638888888894</v>
      </c>
      <c r="HF96" s="316">
        <v>7.7420833333333325</v>
      </c>
      <c r="HG96" s="316">
        <v>12.269583333333328</v>
      </c>
      <c r="HH96" s="316">
        <v>9.8190277777777908</v>
      </c>
      <c r="HI96" s="316">
        <v>11.228333333333333</v>
      </c>
      <c r="HJ96" s="316">
        <v>11.132777777777775</v>
      </c>
      <c r="HK96" s="316">
        <v>14.428194444444451</v>
      </c>
      <c r="HL96" s="316">
        <v>14.524027777777766</v>
      </c>
      <c r="HM96" s="316">
        <v>8.2619444444444401</v>
      </c>
      <c r="HN96" s="316">
        <v>11.635416666666664</v>
      </c>
      <c r="HO96" s="316">
        <v>8.3344444444444452</v>
      </c>
      <c r="HP96" s="316">
        <v>12.889166666666661</v>
      </c>
      <c r="HQ96" s="316">
        <v>12.233749999999999</v>
      </c>
      <c r="HR96" s="316">
        <v>8.2440277777777791</v>
      </c>
      <c r="HS96" s="316">
        <v>8.0252777777777791</v>
      </c>
      <c r="HT96" s="316">
        <v>10.658194444444451</v>
      </c>
      <c r="HU96" s="316">
        <v>11.500138888888891</v>
      </c>
      <c r="HV96" s="316">
        <v>11.177638888888897</v>
      </c>
      <c r="HW96" s="316">
        <v>12.519305555555549</v>
      </c>
      <c r="HX96" s="316">
        <v>11.852222222222213</v>
      </c>
      <c r="HY96" s="316">
        <v>14.048472222222237</v>
      </c>
      <c r="HZ96" s="316">
        <v>13.009861111111107</v>
      </c>
      <c r="IA96" s="316">
        <v>12.150833333333351</v>
      </c>
      <c r="IB96" s="316">
        <v>11.797361111111107</v>
      </c>
      <c r="IC96" s="316">
        <v>10.8567</v>
      </c>
      <c r="ID96" s="316">
        <v>9.4549999999999947</v>
      </c>
      <c r="IE96" s="316">
        <v>12.303194444444451</v>
      </c>
      <c r="IF96" s="316">
        <v>13.992777777777789</v>
      </c>
      <c r="IG96" s="316">
        <v>13.947500000000003</v>
      </c>
      <c r="IH96" s="316">
        <v>10.819305555555561</v>
      </c>
      <c r="II96" s="316">
        <v>13.2447</v>
      </c>
      <c r="IJ96" s="316">
        <v>11.555555555555571</v>
      </c>
      <c r="IK96" s="316">
        <v>11.692777777777776</v>
      </c>
      <c r="IL96" s="316">
        <v>14.887361111111096</v>
      </c>
      <c r="IM96" s="316">
        <v>12.51138888888889</v>
      </c>
      <c r="IN96" s="316">
        <v>12.00916666666668</v>
      </c>
      <c r="IO96" s="316">
        <v>11.981388888888899</v>
      </c>
      <c r="IP96" s="316">
        <v>11.878472222222214</v>
      </c>
      <c r="IQ96" s="316">
        <v>7.1870833333333373</v>
      </c>
      <c r="IR96" s="316">
        <v>10.990972222222217</v>
      </c>
      <c r="IS96" s="316">
        <v>12.340972222222238</v>
      </c>
      <c r="IT96" s="316">
        <v>12.77208333333334</v>
      </c>
      <c r="IU96" s="316">
        <v>12.545277777777766</v>
      </c>
      <c r="IV96" s="316">
        <v>11.361388888888875</v>
      </c>
      <c r="IW96" s="316">
        <v>10.87388888888889</v>
      </c>
      <c r="IX96" s="316">
        <v>11.884444444444435</v>
      </c>
      <c r="IY96" s="316">
        <v>11.630555555555546</v>
      </c>
      <c r="IZ96" s="316">
        <v>11.395277777777768</v>
      </c>
      <c r="JA96" s="316">
        <v>12.557638888888887</v>
      </c>
      <c r="JB96" s="316">
        <v>11.796805555555554</v>
      </c>
      <c r="JC96" s="316">
        <v>12.652500000000007</v>
      </c>
      <c r="JD96" s="316">
        <v>11.028333333333336</v>
      </c>
      <c r="JE96" s="316">
        <v>9.5824999999999978</v>
      </c>
      <c r="JF96" s="316">
        <v>12.460694444444441</v>
      </c>
      <c r="JG96" s="316">
        <v>14.021527777777777</v>
      </c>
      <c r="JH96" s="316">
        <v>11.727361111111117</v>
      </c>
      <c r="JI96" s="316">
        <v>6.924305555555561</v>
      </c>
      <c r="JJ96" s="316">
        <v>11.946527777777801</v>
      </c>
      <c r="JK96" s="316">
        <v>7.2074999999999907</v>
      </c>
      <c r="JL96" s="316">
        <v>11.989305555555534</v>
      </c>
      <c r="JM96" s="316">
        <v>12.758749999999969</v>
      </c>
      <c r="JN96" s="316">
        <v>11.906388888888879</v>
      </c>
      <c r="JO96" s="316">
        <v>12.634305555555541</v>
      </c>
      <c r="JP96" s="316">
        <v>7.7055555555555468</v>
      </c>
      <c r="JQ96" s="316">
        <v>12.012499999999992</v>
      </c>
      <c r="JR96" s="316">
        <v>12.208611111111109</v>
      </c>
      <c r="JS96" s="316">
        <v>13.18388888888888</v>
      </c>
      <c r="JT96" s="316">
        <v>11.765694444444431</v>
      </c>
      <c r="JU96" s="316">
        <v>12.356249999999999</v>
      </c>
      <c r="JV96" s="316">
        <v>11.624861111111118</v>
      </c>
      <c r="JW96" s="316">
        <v>14.445555555555559</v>
      </c>
      <c r="JX96" s="316">
        <v>12.492083333333337</v>
      </c>
      <c r="JY96" s="316">
        <v>8.3859722222222182</v>
      </c>
      <c r="JZ96" s="316">
        <v>7.8165277777777789</v>
      </c>
      <c r="KA96" s="316">
        <v>11.46277777777779</v>
      </c>
      <c r="KB96" s="316">
        <v>11.704166666666653</v>
      </c>
      <c r="KC96" s="316">
        <v>11.957083333333316</v>
      </c>
      <c r="KD96" s="316">
        <v>12.39611111111112</v>
      </c>
      <c r="KE96" s="316">
        <v>9.0600000000000058</v>
      </c>
      <c r="KF96" s="316">
        <v>7.2686111111111105</v>
      </c>
      <c r="KG96" s="316">
        <v>14.03222222222222</v>
      </c>
      <c r="KH96" s="316">
        <v>14.511111111111111</v>
      </c>
      <c r="KI96" s="316">
        <v>12.223750000000011</v>
      </c>
      <c r="KJ96" s="316">
        <v>11.87166666666667</v>
      </c>
      <c r="KK96" s="316">
        <v>13.098611111111117</v>
      </c>
      <c r="KL96" s="316">
        <v>8.8748611111111142</v>
      </c>
      <c r="KM96" s="316">
        <v>8.3469444444444392</v>
      </c>
      <c r="KN96" s="316">
        <v>11.642638888888895</v>
      </c>
      <c r="KO96" s="316">
        <v>11.141250000000003</v>
      </c>
      <c r="KP96" s="316">
        <v>10.366666666666658</v>
      </c>
      <c r="KQ96" s="316">
        <v>6.8655555555555479</v>
      </c>
      <c r="KR96" s="316">
        <v>6.5868055555555527</v>
      </c>
    </row>
    <row r="97" spans="1:304" s="315" customFormat="1" x14ac:dyDescent="0.25">
      <c r="A97" s="310">
        <v>2021</v>
      </c>
      <c r="B97" s="310">
        <v>10</v>
      </c>
      <c r="C97" s="316">
        <v>0.68198924731182653</v>
      </c>
      <c r="D97" s="316">
        <v>9.0787634408602127</v>
      </c>
      <c r="E97" s="316">
        <v>9.8987903225806448</v>
      </c>
      <c r="F97" s="316">
        <v>9.0029569892473145</v>
      </c>
      <c r="G97" s="316">
        <v>8.058870967741937</v>
      </c>
      <c r="H97" s="316">
        <v>8.7883064516129057</v>
      </c>
      <c r="I97" s="316">
        <v>1.7229838709677354</v>
      </c>
      <c r="J97" s="316">
        <v>1.6650537634408618</v>
      </c>
      <c r="K97" s="316">
        <v>8.1286290322580648</v>
      </c>
      <c r="L97" s="316">
        <v>8.4018817204301044</v>
      </c>
      <c r="M97" s="316">
        <v>7.9715053763440826</v>
      </c>
      <c r="N97" s="316">
        <v>8.6818548387096719</v>
      </c>
      <c r="O97" s="316">
        <v>3.7051075268817177</v>
      </c>
      <c r="P97" s="316">
        <v>10.092741935483859</v>
      </c>
      <c r="Q97" s="316">
        <v>2.8250000000000028</v>
      </c>
      <c r="R97" s="316">
        <v>8.6341397849462389</v>
      </c>
      <c r="S97" s="316">
        <v>7.2047043010752638</v>
      </c>
      <c r="T97" s="316">
        <v>9.6080645161290228</v>
      </c>
      <c r="U97" s="316">
        <v>7.5842999999999998</v>
      </c>
      <c r="V97" s="316">
        <v>8.0905913978494635</v>
      </c>
      <c r="W97" s="316">
        <v>8.5426075268817172</v>
      </c>
      <c r="X97" s="316">
        <v>8.7239247311828017</v>
      </c>
      <c r="Y97" s="316">
        <v>9.6810483870967818</v>
      </c>
      <c r="Z97" s="316">
        <v>4.9071236559139759</v>
      </c>
      <c r="AA97" s="316">
        <v>10.856586021505377</v>
      </c>
      <c r="AB97" s="316">
        <v>10.248387096774193</v>
      </c>
      <c r="AC97" s="316">
        <v>7.5594086021505325</v>
      </c>
      <c r="AD97" s="316">
        <v>8.6469086021505497</v>
      </c>
      <c r="AE97" s="316">
        <v>8.9974462365591368</v>
      </c>
      <c r="AF97" s="316">
        <v>7.9528225806451607</v>
      </c>
      <c r="AG97" s="316">
        <v>6.9497311827957047</v>
      </c>
      <c r="AH97" s="316">
        <v>3.6272849462365597</v>
      </c>
      <c r="AI97" s="316">
        <v>7.1047043010752722</v>
      </c>
      <c r="AJ97" s="316">
        <v>7.6956989247311833</v>
      </c>
      <c r="AK97" s="316">
        <v>8.0580645161290292</v>
      </c>
      <c r="AL97" s="316">
        <v>8.5114247311827924</v>
      </c>
      <c r="AM97" s="316">
        <v>8.6720430107526987</v>
      </c>
      <c r="AN97" s="316">
        <v>10.034946236559151</v>
      </c>
      <c r="AO97" s="316">
        <v>9.0264784946236656</v>
      </c>
      <c r="AP97" s="316">
        <v>7.915860215053752</v>
      </c>
      <c r="AQ97" s="316">
        <v>10.499193548387096</v>
      </c>
      <c r="AR97" s="316">
        <v>8.2751344086021579</v>
      </c>
      <c r="AS97" s="316">
        <v>11.742473118279566</v>
      </c>
      <c r="AT97" s="316">
        <v>7.6333333333333355</v>
      </c>
      <c r="AU97" s="316">
        <v>7.6143817204301065</v>
      </c>
      <c r="AV97" s="316">
        <v>8.0305107526881816</v>
      </c>
      <c r="AW97" s="316">
        <v>8.4373655913978531</v>
      </c>
      <c r="AX97" s="316">
        <v>8.4639784946236638</v>
      </c>
      <c r="AY97" s="316">
        <v>8.3877688172042895</v>
      </c>
      <c r="AZ97" s="316">
        <v>3.3260752688172062</v>
      </c>
      <c r="BA97" s="316">
        <v>8.9955645161290345</v>
      </c>
      <c r="BB97" s="316">
        <v>4.0081989247311807</v>
      </c>
      <c r="BC97" s="316">
        <v>7.0356182795698974</v>
      </c>
      <c r="BD97" s="316">
        <v>7.8260752688172124</v>
      </c>
      <c r="BE97" s="316">
        <v>8.418817204301078</v>
      </c>
      <c r="BF97" s="316">
        <v>9.297849462365587</v>
      </c>
      <c r="BG97" s="316">
        <v>2.6408602150537606</v>
      </c>
      <c r="BH97" s="316">
        <v>-0.12284946236559172</v>
      </c>
      <c r="BI97" s="316">
        <v>8.4321236559139834</v>
      </c>
      <c r="BJ97" s="316">
        <v>10.665994623655916</v>
      </c>
      <c r="BK97" s="316">
        <v>9.2590053763440849</v>
      </c>
      <c r="BL97" s="316">
        <v>8.6719086021505376</v>
      </c>
      <c r="BM97" s="316">
        <v>7.3321236559139713</v>
      </c>
      <c r="BN97" s="316">
        <v>8.4288978494623628</v>
      </c>
      <c r="BO97" s="316">
        <v>8.1504032258064569</v>
      </c>
      <c r="BP97" s="316">
        <v>10.134811827956996</v>
      </c>
      <c r="BQ97" s="316">
        <v>4.777956989247313</v>
      </c>
      <c r="BR97" s="316">
        <v>9.3799731182795778</v>
      </c>
      <c r="BS97" s="316">
        <v>8.4172043010752748</v>
      </c>
      <c r="BT97" s="316">
        <v>3.5891129032258098</v>
      </c>
      <c r="BU97" s="316">
        <v>4.4532258064516173</v>
      </c>
      <c r="BV97" s="316">
        <v>7.861290322580647</v>
      </c>
      <c r="BW97" s="316">
        <v>10.671505376344086</v>
      </c>
      <c r="BX97" s="316">
        <v>2.258198924731182</v>
      </c>
      <c r="BY97" s="316">
        <v>9.6122311827957052</v>
      </c>
      <c r="BZ97" s="316">
        <v>8.7752688172042959</v>
      </c>
      <c r="CA97" s="316">
        <v>9.1381720430107425</v>
      </c>
      <c r="CB97" s="316">
        <v>7.5682795698924794</v>
      </c>
      <c r="CC97" s="316">
        <v>8.803763440860207</v>
      </c>
      <c r="CD97" s="316">
        <v>8.668010752688172</v>
      </c>
      <c r="CE97" s="316">
        <v>7.4967741935483829</v>
      </c>
      <c r="CF97" s="316">
        <v>7.9840053763440801</v>
      </c>
      <c r="CG97" s="316">
        <v>8.1768817204301012</v>
      </c>
      <c r="CH97" s="316">
        <v>7.5497311827956999</v>
      </c>
      <c r="CI97" s="316">
        <v>6.2908602150537583</v>
      </c>
      <c r="CJ97" s="316">
        <v>9.9196236559139894</v>
      </c>
      <c r="CK97" s="316">
        <v>8.7763440860215027</v>
      </c>
      <c r="CL97" s="316">
        <v>10.826075268817199</v>
      </c>
      <c r="CM97" s="316">
        <v>8.3745967741935559</v>
      </c>
      <c r="CN97" s="316">
        <v>9.503360215053748</v>
      </c>
      <c r="CO97" s="316">
        <v>9.4903225806451754</v>
      </c>
      <c r="CP97" s="316">
        <v>1.2438172043010745</v>
      </c>
      <c r="CQ97" s="316">
        <v>4.2889784946236587</v>
      </c>
      <c r="CR97" s="316">
        <v>9.0491935483870964</v>
      </c>
      <c r="CS97" s="316">
        <v>8.3862903225806491</v>
      </c>
      <c r="CT97" s="316">
        <v>3.1434139784946198</v>
      </c>
      <c r="CU97" s="316">
        <v>9.400268817204303</v>
      </c>
      <c r="CV97" s="316">
        <v>-0.96572580645161332</v>
      </c>
      <c r="CW97" s="316">
        <v>9.346370967741942</v>
      </c>
      <c r="CX97" s="316">
        <v>9.3494623655914086</v>
      </c>
      <c r="CY97" s="316">
        <v>7.794489247311815</v>
      </c>
      <c r="CZ97" s="316">
        <v>9.9184139784946304</v>
      </c>
      <c r="DA97" s="316">
        <v>9.0512096774193633</v>
      </c>
      <c r="DB97" s="316">
        <v>8.4224462365591357</v>
      </c>
      <c r="DC97" s="316">
        <v>8.4194892473118319</v>
      </c>
      <c r="DD97" s="316">
        <v>8.7556451612903192</v>
      </c>
      <c r="DE97" s="316">
        <v>-0.42661290322580331</v>
      </c>
      <c r="DF97" s="316">
        <v>7.7513440860215077</v>
      </c>
      <c r="DG97" s="316">
        <v>9.4478494623655855</v>
      </c>
      <c r="DH97" s="316">
        <v>8.3807795698924821</v>
      </c>
      <c r="DI97" s="316">
        <v>7.1274193548387101</v>
      </c>
      <c r="DJ97" s="316">
        <v>5.5588709677419317</v>
      </c>
      <c r="DK97" s="316">
        <v>9.4721774193548374</v>
      </c>
      <c r="DL97" s="316">
        <v>8.5190860215053839</v>
      </c>
      <c r="DM97" s="316">
        <v>8.5073924731182782</v>
      </c>
      <c r="DN97" s="316">
        <v>10.404301075268808</v>
      </c>
      <c r="DO97" s="316">
        <v>8.7948924731182849</v>
      </c>
      <c r="DP97" s="316">
        <v>10.201478494623654</v>
      </c>
      <c r="DQ97" s="316">
        <v>0.57715053763441004</v>
      </c>
      <c r="DR97" s="316">
        <v>10.569220430107533</v>
      </c>
      <c r="DS97" s="316">
        <v>8.4771505376344045</v>
      </c>
      <c r="DT97" s="316">
        <v>9.7620967741935498</v>
      </c>
      <c r="DU97" s="316">
        <v>10.969623655913969</v>
      </c>
      <c r="DV97" s="316">
        <v>8.4267473118279579</v>
      </c>
      <c r="DW97" s="316">
        <v>8.308467741935484</v>
      </c>
      <c r="DX97" s="316">
        <v>7.2418010752688229</v>
      </c>
      <c r="DY97" s="316">
        <v>9.3272849462365706</v>
      </c>
      <c r="DZ97" s="316">
        <v>7.9420698924731177</v>
      </c>
      <c r="EA97" s="316">
        <v>8.9829301075268759</v>
      </c>
      <c r="EB97" s="316">
        <v>8.8775537634408632</v>
      </c>
      <c r="EC97" s="316">
        <v>9.5564516129032331</v>
      </c>
      <c r="ED97" s="316">
        <v>7.7622311827956993</v>
      </c>
      <c r="EE97" s="316">
        <v>9.5780913978494588</v>
      </c>
      <c r="EF97" s="316">
        <v>8.3551075268817172</v>
      </c>
      <c r="EG97" s="316">
        <v>6.515456989247312</v>
      </c>
      <c r="EH97" s="316">
        <v>10.882258064516128</v>
      </c>
      <c r="EI97" s="316">
        <v>7.470833333333335</v>
      </c>
      <c r="EJ97" s="316">
        <v>3.7818548387096822</v>
      </c>
      <c r="EK97" s="316">
        <v>10.526075268817204</v>
      </c>
      <c r="EL97" s="316">
        <v>3.1319892473118398</v>
      </c>
      <c r="EM97" s="316">
        <v>10.646236559139789</v>
      </c>
      <c r="EN97" s="316">
        <v>8.2850806451612904</v>
      </c>
      <c r="EO97" s="316">
        <v>10.957661290322573</v>
      </c>
      <c r="EP97" s="316">
        <v>6.45403225806451</v>
      </c>
      <c r="EQ97" s="316">
        <v>2.1544354838709698</v>
      </c>
      <c r="ER97" s="316">
        <v>9.6143817204301101</v>
      </c>
      <c r="ES97" s="316">
        <v>8.4918010752688193</v>
      </c>
      <c r="ET97" s="316">
        <v>9.5673387096774238</v>
      </c>
      <c r="EU97" s="316">
        <v>8.7305107526881738</v>
      </c>
      <c r="EV97" s="316">
        <v>7.3913978494623738</v>
      </c>
      <c r="EW97" s="316">
        <v>8.9311827956989163</v>
      </c>
      <c r="EX97" s="316">
        <v>9.5310483870967779</v>
      </c>
      <c r="EY97" s="316">
        <v>7.6391129032258052</v>
      </c>
      <c r="EZ97" s="316">
        <v>8.4557795698924743</v>
      </c>
      <c r="FA97" s="316">
        <v>10.290994623655909</v>
      </c>
      <c r="FB97" s="316">
        <v>9.1279569892473056</v>
      </c>
      <c r="FC97" s="316">
        <v>9.7052419354838655</v>
      </c>
      <c r="FD97" s="316">
        <v>8.9974462365591297</v>
      </c>
      <c r="FE97" s="316">
        <v>7.8142473118279439</v>
      </c>
      <c r="FF97" s="316">
        <v>7.9590053763440762</v>
      </c>
      <c r="FG97" s="316">
        <v>6.7528225806451703</v>
      </c>
      <c r="FH97" s="316">
        <v>4.8770161290322589</v>
      </c>
      <c r="FI97" s="316">
        <v>8.7112903225806431</v>
      </c>
      <c r="FJ97" s="316">
        <v>8.5741935483870897</v>
      </c>
      <c r="FK97" s="316">
        <v>2.6424731182795602</v>
      </c>
      <c r="FL97" s="316">
        <v>8.3473000000000006</v>
      </c>
      <c r="FM97" s="316">
        <v>8.5661290322580665</v>
      </c>
      <c r="FN97" s="316">
        <v>8.4782258064516167</v>
      </c>
      <c r="FO97" s="316">
        <v>8.8682795698924668</v>
      </c>
      <c r="FP97" s="316">
        <v>7.6008064516129021</v>
      </c>
      <c r="FQ97" s="316">
        <v>7.7174731182795728</v>
      </c>
      <c r="FR97" s="316">
        <v>8.6672043010752713</v>
      </c>
      <c r="FS97" s="316">
        <v>6.94489247311828</v>
      </c>
      <c r="FT97" s="316">
        <v>10.252553763440863</v>
      </c>
      <c r="FU97" s="316">
        <v>8.4142473118279604</v>
      </c>
      <c r="FV97" s="316">
        <v>8.9775537634408575</v>
      </c>
      <c r="FW97" s="316">
        <v>8.8006720430107688</v>
      </c>
      <c r="FX97" s="316">
        <v>0.9770161290322591</v>
      </c>
      <c r="FY97" s="316">
        <v>9.8986559139784873</v>
      </c>
      <c r="FZ97" s="316">
        <v>3.5939516129032234</v>
      </c>
      <c r="GA97" s="316">
        <v>1.525806451612902</v>
      </c>
      <c r="GB97" s="316">
        <v>4.5181451612903185</v>
      </c>
      <c r="GC97" s="316">
        <v>9.4706989247311846</v>
      </c>
      <c r="GD97" s="316">
        <v>7.2224462365591338</v>
      </c>
      <c r="GE97" s="316">
        <v>8.0262096774193559</v>
      </c>
      <c r="GF97" s="316">
        <v>8.824596774193548</v>
      </c>
      <c r="GG97" s="316">
        <v>8.1768817204301172</v>
      </c>
      <c r="GH97" s="316">
        <v>8.5059139784946201</v>
      </c>
      <c r="GI97" s="316">
        <v>10.705107526881712</v>
      </c>
      <c r="GJ97" s="316">
        <v>9.7235215053763362</v>
      </c>
      <c r="GK97" s="316">
        <v>8.9151881720430133</v>
      </c>
      <c r="GL97" s="316">
        <v>4.1055107526881693</v>
      </c>
      <c r="GM97" s="316">
        <v>7.6348118279569945</v>
      </c>
      <c r="GN97" s="316">
        <v>10.252688172043021</v>
      </c>
      <c r="GO97" s="316">
        <v>8.4939516129032295</v>
      </c>
      <c r="GP97" s="316">
        <v>8.5391129032257975</v>
      </c>
      <c r="GQ97" s="316">
        <v>7.7252688172043111</v>
      </c>
      <c r="GR97" s="316">
        <v>4.4686827956989283</v>
      </c>
      <c r="GS97" s="316">
        <v>8.9250000000000043</v>
      </c>
      <c r="GT97" s="316">
        <v>9.0944892473118131</v>
      </c>
      <c r="GU97" s="316">
        <v>1.9127688172043003</v>
      </c>
      <c r="GV97" s="316">
        <v>11.051075268817208</v>
      </c>
      <c r="GW97" s="316">
        <v>10.455645161290322</v>
      </c>
      <c r="GX97" s="316">
        <v>10.209543010752691</v>
      </c>
      <c r="GY97" s="316">
        <v>8.9815860215053771</v>
      </c>
      <c r="GZ97" s="316">
        <v>9.1159946236559097</v>
      </c>
      <c r="HA97" s="316">
        <v>7.7965053763440793</v>
      </c>
      <c r="HB97" s="316">
        <v>4.4639784946236585</v>
      </c>
      <c r="HC97" s="316">
        <v>2.5342741935483839</v>
      </c>
      <c r="HD97" s="316">
        <v>8.585080645161284</v>
      </c>
      <c r="HE97" s="316">
        <v>10.3494623655914</v>
      </c>
      <c r="HF97" s="316">
        <v>4.1622311827956935</v>
      </c>
      <c r="HG97" s="316">
        <v>9.0861559139784855</v>
      </c>
      <c r="HH97" s="316">
        <v>6.18655913978494</v>
      </c>
      <c r="HI97" s="316">
        <v>7.9268817204301083</v>
      </c>
      <c r="HJ97" s="316">
        <v>7.9623655913978446</v>
      </c>
      <c r="HK97" s="316">
        <v>10.122580645161298</v>
      </c>
      <c r="HL97" s="316">
        <v>10.315860215053755</v>
      </c>
      <c r="HM97" s="316">
        <v>5.5643817204301094</v>
      </c>
      <c r="HN97" s="316">
        <v>7.9334677419354946</v>
      </c>
      <c r="HO97" s="316">
        <v>5.1452956989247358</v>
      </c>
      <c r="HP97" s="316">
        <v>9.6482526881720414</v>
      </c>
      <c r="HQ97" s="316">
        <v>8.8974462365591283</v>
      </c>
      <c r="HR97" s="316">
        <v>5.2182795698924682</v>
      </c>
      <c r="HS97" s="316">
        <v>5.0614247311827913</v>
      </c>
      <c r="HT97" s="316">
        <v>7.8182795698924723</v>
      </c>
      <c r="HU97" s="316">
        <v>7.4303763440860289</v>
      </c>
      <c r="HV97" s="316">
        <v>8.1319892473118252</v>
      </c>
      <c r="HW97" s="316">
        <v>8.6551075268817215</v>
      </c>
      <c r="HX97" s="316">
        <v>8.6684139784946268</v>
      </c>
      <c r="HY97" s="316">
        <v>9.957526881720419</v>
      </c>
      <c r="HZ97" s="316">
        <v>9.948252688172035</v>
      </c>
      <c r="IA97" s="316">
        <v>8.825134408602155</v>
      </c>
      <c r="IB97" s="316">
        <v>8.4017473118279451</v>
      </c>
      <c r="IC97" s="316">
        <v>8.0947999999999993</v>
      </c>
      <c r="ID97" s="316">
        <v>5.4982526881720419</v>
      </c>
      <c r="IE97" s="316">
        <v>8.202284946236551</v>
      </c>
      <c r="IF97" s="316">
        <v>11.100806451612911</v>
      </c>
      <c r="IG97" s="316">
        <v>9.8341397849462258</v>
      </c>
      <c r="IH97" s="316">
        <v>7.6599462365591373</v>
      </c>
      <c r="II97" s="316">
        <v>9.0861999999999998</v>
      </c>
      <c r="IJ97" s="316">
        <v>7.7693548387096829</v>
      </c>
      <c r="IK97" s="316">
        <v>8.2309139784946215</v>
      </c>
      <c r="IL97" s="316">
        <v>11.216129032258063</v>
      </c>
      <c r="IM97" s="316">
        <v>9.3579301075268848</v>
      </c>
      <c r="IN97" s="316">
        <v>8.6549731182795746</v>
      </c>
      <c r="IO97" s="316">
        <v>8.8201612903225932</v>
      </c>
      <c r="IP97" s="316">
        <v>8.8676075268817307</v>
      </c>
      <c r="IQ97" s="316">
        <v>4.1560483870967735</v>
      </c>
      <c r="IR97" s="316">
        <v>8.1384408602150575</v>
      </c>
      <c r="IS97" s="316">
        <v>8.9862903225806487</v>
      </c>
      <c r="IT97" s="316">
        <v>9.8501344086021465</v>
      </c>
      <c r="IU97" s="316">
        <v>8.6447580645161306</v>
      </c>
      <c r="IV97" s="316">
        <v>7.8579301075268946</v>
      </c>
      <c r="IW97" s="316">
        <v>7.9715053763440826</v>
      </c>
      <c r="IX97" s="316">
        <v>8.788306451612911</v>
      </c>
      <c r="IY97" s="316">
        <v>8.6869623655913895</v>
      </c>
      <c r="IZ97" s="316">
        <v>8.4907258064516178</v>
      </c>
      <c r="JA97" s="316">
        <v>9.2192204301075229</v>
      </c>
      <c r="JB97" s="316">
        <v>7.7244623655913918</v>
      </c>
      <c r="JC97" s="316">
        <v>8.4075268817204378</v>
      </c>
      <c r="JD97" s="316">
        <v>8.3244623655913994</v>
      </c>
      <c r="JE97" s="316">
        <v>6.7975806451612959</v>
      </c>
      <c r="JF97" s="316">
        <v>9.1278225806451623</v>
      </c>
      <c r="JG97" s="316">
        <v>10.706989247311828</v>
      </c>
      <c r="JH97" s="316">
        <v>7.6657258064516132</v>
      </c>
      <c r="JI97" s="316">
        <v>2.8270161290322546</v>
      </c>
      <c r="JJ97" s="316">
        <v>7.8185483870967731</v>
      </c>
      <c r="JK97" s="316">
        <v>3.3358870967741914</v>
      </c>
      <c r="JL97" s="316">
        <v>8.55510752688172</v>
      </c>
      <c r="JM97" s="316">
        <v>9.8376344086021472</v>
      </c>
      <c r="JN97" s="316">
        <v>8.7875000000000014</v>
      </c>
      <c r="JO97" s="316">
        <v>9.3475806451612939</v>
      </c>
      <c r="JP97" s="316">
        <v>4.1297043010752699</v>
      </c>
      <c r="JQ97" s="316">
        <v>8.9016129032258124</v>
      </c>
      <c r="JR97" s="316">
        <v>8.1654569892473141</v>
      </c>
      <c r="JS97" s="316">
        <v>9.1186827956989145</v>
      </c>
      <c r="JT97" s="316">
        <v>8.5702956989247365</v>
      </c>
      <c r="JU97" s="316">
        <v>8.0134408602150575</v>
      </c>
      <c r="JV97" s="316">
        <v>7.8470430107526941</v>
      </c>
      <c r="JW97" s="316">
        <v>10.872311827956988</v>
      </c>
      <c r="JX97" s="316">
        <v>9.1431451612903274</v>
      </c>
      <c r="JY97" s="316">
        <v>5.1161290322580655</v>
      </c>
      <c r="JZ97" s="316">
        <v>4.5553763440860147</v>
      </c>
      <c r="KA97" s="316">
        <v>8.1903225806451587</v>
      </c>
      <c r="KB97" s="316">
        <v>7.635215053763444</v>
      </c>
      <c r="KC97" s="316">
        <v>8.0224462365591425</v>
      </c>
      <c r="KD97" s="316">
        <v>8.2391129032258075</v>
      </c>
      <c r="KE97" s="316">
        <v>6.0452956989247317</v>
      </c>
      <c r="KF97" s="316">
        <v>2.5513440860215066</v>
      </c>
      <c r="KG97" s="316">
        <v>10.002150537634417</v>
      </c>
      <c r="KH97" s="316">
        <v>11.51962365591397</v>
      </c>
      <c r="KI97" s="316">
        <v>9.0205645161290331</v>
      </c>
      <c r="KJ97" s="316">
        <v>8.568145161290321</v>
      </c>
      <c r="KK97" s="316">
        <v>8.9173387096774164</v>
      </c>
      <c r="KL97" s="316">
        <v>5.1529569892473095</v>
      </c>
      <c r="KM97" s="316">
        <v>5.268145161290323</v>
      </c>
      <c r="KN97" s="316">
        <v>8.7111559139784944</v>
      </c>
      <c r="KO97" s="316">
        <v>8.3700268817204382</v>
      </c>
      <c r="KP97" s="316">
        <v>7.1118279569892469</v>
      </c>
      <c r="KQ97" s="316">
        <v>2.4658602150537678</v>
      </c>
      <c r="KR97" s="316">
        <v>2.4162634408602126</v>
      </c>
    </row>
    <row r="98" spans="1:304" s="315" customFormat="1" x14ac:dyDescent="0.25">
      <c r="A98" s="310">
        <v>2021</v>
      </c>
      <c r="B98" s="310">
        <v>11</v>
      </c>
      <c r="C98" s="316">
        <v>-5.323888888888888</v>
      </c>
      <c r="D98" s="316">
        <v>3.4059722222222168</v>
      </c>
      <c r="E98" s="316">
        <v>5.0355555555555558</v>
      </c>
      <c r="F98" s="316">
        <v>4.4143055555555524</v>
      </c>
      <c r="G98" s="316">
        <v>4.2608333333333279</v>
      </c>
      <c r="H98" s="316">
        <v>2.4523611111111032</v>
      </c>
      <c r="I98" s="316">
        <v>-6.6566666666666707</v>
      </c>
      <c r="J98" s="316">
        <v>-5.9865277777777797</v>
      </c>
      <c r="K98" s="316">
        <v>1.3856944444444423</v>
      </c>
      <c r="L98" s="316">
        <v>2.8956944444444432</v>
      </c>
      <c r="M98" s="316">
        <v>1.3079166666666677</v>
      </c>
      <c r="N98" s="316">
        <v>3.0580555555555584</v>
      </c>
      <c r="O98" s="316">
        <v>-3.5962499999999995</v>
      </c>
      <c r="P98" s="316">
        <v>6.2226388888888904</v>
      </c>
      <c r="Q98" s="316">
        <v>-5.4465277777777796</v>
      </c>
      <c r="R98" s="316">
        <v>4.19763888888889</v>
      </c>
      <c r="S98" s="316">
        <v>-0.24347222222222145</v>
      </c>
      <c r="T98" s="316">
        <v>5.4919444444444423</v>
      </c>
      <c r="U98" s="316">
        <v>0.79249999999999998</v>
      </c>
      <c r="V98" s="316">
        <v>3.8458333333333354</v>
      </c>
      <c r="W98" s="316">
        <v>3.1359722222222262</v>
      </c>
      <c r="X98" s="316">
        <v>5.2654166666666651</v>
      </c>
      <c r="Y98" s="316">
        <v>5.9787500000000051</v>
      </c>
      <c r="Z98" s="316">
        <v>-2.1776388888888882</v>
      </c>
      <c r="AA98" s="316">
        <v>7.0209722222222206</v>
      </c>
      <c r="AB98" s="316">
        <v>6.139305555555552</v>
      </c>
      <c r="AC98" s="316">
        <v>0.45791666666666497</v>
      </c>
      <c r="AD98" s="316">
        <v>3.0881944444444431</v>
      </c>
      <c r="AE98" s="316">
        <v>3.2433333333333287</v>
      </c>
      <c r="AF98" s="316">
        <v>1.9699999999999964</v>
      </c>
      <c r="AG98" s="316">
        <v>-0.46833333333333405</v>
      </c>
      <c r="AH98" s="316">
        <v>-3.8211111111111133</v>
      </c>
      <c r="AI98" s="316">
        <v>-0.56499999999999972</v>
      </c>
      <c r="AJ98" s="316">
        <v>3.2633333333333292</v>
      </c>
      <c r="AK98" s="316">
        <v>4.2616666666666667</v>
      </c>
      <c r="AL98" s="316">
        <v>2.1208333333333309</v>
      </c>
      <c r="AM98" s="316">
        <v>2.5566666666666644</v>
      </c>
      <c r="AN98" s="316">
        <v>6.2512499999999998</v>
      </c>
      <c r="AO98" s="316">
        <v>3.9529166666666673</v>
      </c>
      <c r="AP98" s="316">
        <v>1.5155555555555544</v>
      </c>
      <c r="AQ98" s="316">
        <v>6.2065277777777901</v>
      </c>
      <c r="AR98" s="316">
        <v>3.3777777777777791</v>
      </c>
      <c r="AS98" s="316">
        <v>7.8987499999999891</v>
      </c>
      <c r="AT98" s="316">
        <v>0.65694444444444755</v>
      </c>
      <c r="AU98" s="316">
        <v>0.93805555555555253</v>
      </c>
      <c r="AV98" s="316">
        <v>1.4077777777777754</v>
      </c>
      <c r="AW98" s="316">
        <v>3.0458333333333361</v>
      </c>
      <c r="AX98" s="316">
        <v>2.7186111111111151</v>
      </c>
      <c r="AY98" s="316">
        <v>1.7533333333333341</v>
      </c>
      <c r="AZ98" s="316">
        <v>-4.2622222222222224</v>
      </c>
      <c r="BA98" s="316">
        <v>3.7530555555555551</v>
      </c>
      <c r="BB98" s="316">
        <v>-2.5891666666666673</v>
      </c>
      <c r="BC98" s="316">
        <v>0.15847222222222263</v>
      </c>
      <c r="BD98" s="316">
        <v>4.0227777777777769</v>
      </c>
      <c r="BE98" s="316">
        <v>2.9201388888888902</v>
      </c>
      <c r="BF98" s="316">
        <v>4.1854166666666588</v>
      </c>
      <c r="BG98" s="316">
        <v>-4.9484722222222253</v>
      </c>
      <c r="BH98" s="316">
        <v>-8.1495833333333323</v>
      </c>
      <c r="BI98" s="316">
        <v>1.7998611111111087</v>
      </c>
      <c r="BJ98" s="316">
        <v>5.8944444444444466</v>
      </c>
      <c r="BK98" s="316">
        <v>3.8654166666666629</v>
      </c>
      <c r="BL98" s="316">
        <v>2.6101388888888839</v>
      </c>
      <c r="BM98" s="316">
        <v>9.7222222222388406E-4</v>
      </c>
      <c r="BN98" s="316">
        <v>2.5969444444444458</v>
      </c>
      <c r="BO98" s="316">
        <v>1.7375000000000025</v>
      </c>
      <c r="BP98" s="316">
        <v>6.158472222222219</v>
      </c>
      <c r="BQ98" s="316">
        <v>-2.8687500000000012</v>
      </c>
      <c r="BR98" s="316">
        <v>3.4434722222222174</v>
      </c>
      <c r="BS98" s="316">
        <v>3.1229166666666615</v>
      </c>
      <c r="BT98" s="316">
        <v>-3.2137499999999988</v>
      </c>
      <c r="BU98" s="316">
        <v>-3.0545833333333334</v>
      </c>
      <c r="BV98" s="316">
        <v>1.096527777777772</v>
      </c>
      <c r="BW98" s="316">
        <v>6.6108333333333311</v>
      </c>
      <c r="BX98" s="316">
        <v>-5.1497222222222252</v>
      </c>
      <c r="BY98" s="316">
        <v>5.4497222222222277</v>
      </c>
      <c r="BZ98" s="316">
        <v>3.8362499999999931</v>
      </c>
      <c r="CA98" s="316">
        <v>4.3940277777777768</v>
      </c>
      <c r="CB98" s="316">
        <v>0.78583333333333283</v>
      </c>
      <c r="CC98" s="316">
        <v>3.2701388888888903</v>
      </c>
      <c r="CD98" s="316">
        <v>3.2375000000000074</v>
      </c>
      <c r="CE98" s="316">
        <v>0.61847222222222376</v>
      </c>
      <c r="CF98" s="316">
        <v>3.824583333333337</v>
      </c>
      <c r="CG98" s="316">
        <v>4.4836111111111041</v>
      </c>
      <c r="CH98" s="316">
        <v>0.90652777777777893</v>
      </c>
      <c r="CI98" s="316">
        <v>-0.40069444444444408</v>
      </c>
      <c r="CJ98" s="316">
        <v>5.1631944444444446</v>
      </c>
      <c r="CK98" s="316">
        <v>5.197222222222222</v>
      </c>
      <c r="CL98" s="316">
        <v>6.838611111111101</v>
      </c>
      <c r="CM98" s="316">
        <v>4.2544444444444469</v>
      </c>
      <c r="CN98" s="316">
        <v>5.6502777777777897</v>
      </c>
      <c r="CO98" s="316">
        <v>5.6976388888888776</v>
      </c>
      <c r="CP98" s="316">
        <v>-7.8229166666666696</v>
      </c>
      <c r="CQ98" s="316">
        <v>-3.698611111111112</v>
      </c>
      <c r="CR98" s="316">
        <v>3.2448611111111108</v>
      </c>
      <c r="CS98" s="316">
        <v>4.0744444444444383</v>
      </c>
      <c r="CT98" s="316">
        <v>-3.6701388888888933</v>
      </c>
      <c r="CU98" s="316">
        <v>5.4751388888888961</v>
      </c>
      <c r="CV98" s="316">
        <v>-10.145138888888887</v>
      </c>
      <c r="CW98" s="316">
        <v>4.4759722222222225</v>
      </c>
      <c r="CX98" s="316">
        <v>5.6606944444444487</v>
      </c>
      <c r="CY98" s="316">
        <v>1.7559722222222212</v>
      </c>
      <c r="CZ98" s="316">
        <v>5.8773611111111146</v>
      </c>
      <c r="DA98" s="316">
        <v>2.8031944444444408</v>
      </c>
      <c r="DB98" s="316">
        <v>2.7247222222222258</v>
      </c>
      <c r="DC98" s="316">
        <v>1.8569444444444418</v>
      </c>
      <c r="DD98" s="316">
        <v>4.448611111111104</v>
      </c>
      <c r="DE98" s="316">
        <v>-7.9972222222222262</v>
      </c>
      <c r="DF98" s="316">
        <v>3.2229166666666655</v>
      </c>
      <c r="DG98" s="316">
        <v>5.8454166666666589</v>
      </c>
      <c r="DH98" s="316">
        <v>2.048055555555556</v>
      </c>
      <c r="DI98" s="316">
        <v>0.51847222222222378</v>
      </c>
      <c r="DJ98" s="316">
        <v>-1.7405555555555541</v>
      </c>
      <c r="DK98" s="316">
        <v>6.0427777777777809</v>
      </c>
      <c r="DL98" s="316">
        <v>2.4808333333333321</v>
      </c>
      <c r="DM98" s="316">
        <v>2.5956944444444447</v>
      </c>
      <c r="DN98" s="316">
        <v>5.7308333333333321</v>
      </c>
      <c r="DO98" s="316">
        <v>2.4873611111111136</v>
      </c>
      <c r="DP98" s="316">
        <v>5.3080555555555584</v>
      </c>
      <c r="DQ98" s="316">
        <v>-7.9076388888888829</v>
      </c>
      <c r="DR98" s="316">
        <v>6.7259722222222234</v>
      </c>
      <c r="DS98" s="316">
        <v>2.0681944444444489</v>
      </c>
      <c r="DT98" s="316">
        <v>5.856388888888886</v>
      </c>
      <c r="DU98" s="316">
        <v>6.9333333333333336</v>
      </c>
      <c r="DV98" s="316">
        <v>2.5776388888888926</v>
      </c>
      <c r="DW98" s="316">
        <v>2.4176388888888907</v>
      </c>
      <c r="DX98" s="316">
        <v>0.23069444444444281</v>
      </c>
      <c r="DY98" s="316">
        <v>4.7165277777777757</v>
      </c>
      <c r="DZ98" s="316">
        <v>4.1427777777777797</v>
      </c>
      <c r="EA98" s="316">
        <v>3.3472222222222245</v>
      </c>
      <c r="EB98" s="316">
        <v>3.7920833333333306</v>
      </c>
      <c r="EC98" s="316">
        <v>4.4516666666666662</v>
      </c>
      <c r="ED98" s="316">
        <v>1.3972222222222208</v>
      </c>
      <c r="EE98" s="316">
        <v>4.2831944444444474</v>
      </c>
      <c r="EF98" s="316">
        <v>4.5609722222222251</v>
      </c>
      <c r="EG98" s="316">
        <v>-1.2376388888888881</v>
      </c>
      <c r="EH98" s="316">
        <v>7.0352777777777771</v>
      </c>
      <c r="EI98" s="316">
        <v>0.85374999999999879</v>
      </c>
      <c r="EJ98" s="316">
        <v>-3.3145833333333332</v>
      </c>
      <c r="EK98" s="316">
        <v>6.7316666666666674</v>
      </c>
      <c r="EL98" s="316">
        <v>-4.9691666666666663</v>
      </c>
      <c r="EM98" s="316">
        <v>5.5852777777777698</v>
      </c>
      <c r="EN98" s="316">
        <v>3.3987500000000073</v>
      </c>
      <c r="EO98" s="316">
        <v>7.0959722222222261</v>
      </c>
      <c r="EP98" s="316">
        <v>-0.99000000000000021</v>
      </c>
      <c r="EQ98" s="316">
        <v>-5.7583333333333346</v>
      </c>
      <c r="ER98" s="316">
        <v>4.3101388888888845</v>
      </c>
      <c r="ES98" s="316">
        <v>4.9306944444444465</v>
      </c>
      <c r="ET98" s="316">
        <v>4.5677777777777777</v>
      </c>
      <c r="EU98" s="316">
        <v>3.6713888888888895</v>
      </c>
      <c r="EV98" s="316">
        <v>-8.9305555555557067E-2</v>
      </c>
      <c r="EW98" s="316">
        <v>3.7916666666666736</v>
      </c>
      <c r="EX98" s="316">
        <v>4.2724999999999973</v>
      </c>
      <c r="EY98" s="316">
        <v>0.8086111111111135</v>
      </c>
      <c r="EZ98" s="316">
        <v>1.8606944444444449</v>
      </c>
      <c r="FA98" s="316">
        <v>5.5213888888888913</v>
      </c>
      <c r="FB98" s="316">
        <v>5.1113888888888814</v>
      </c>
      <c r="FC98" s="316">
        <v>5.6031944444444539</v>
      </c>
      <c r="FD98" s="316">
        <v>3.462222222222223</v>
      </c>
      <c r="FE98" s="316">
        <v>1.5820833333333342</v>
      </c>
      <c r="FF98" s="316">
        <v>1.436805555555555</v>
      </c>
      <c r="FG98" s="316">
        <v>-0.32569444444444423</v>
      </c>
      <c r="FH98" s="316">
        <v>-1.8595833333333338</v>
      </c>
      <c r="FI98" s="316">
        <v>3.5397222222222227</v>
      </c>
      <c r="FJ98" s="316">
        <v>2.5443055555555536</v>
      </c>
      <c r="FK98" s="316">
        <v>-4.9193055555555567</v>
      </c>
      <c r="FL98" s="316">
        <v>4.4768999999999997</v>
      </c>
      <c r="FM98" s="316">
        <v>3.0273611111111123</v>
      </c>
      <c r="FN98" s="316">
        <v>3.2624999999999975</v>
      </c>
      <c r="FO98" s="316">
        <v>3.8338888888888922</v>
      </c>
      <c r="FP98" s="316">
        <v>3.0943055555555605</v>
      </c>
      <c r="FQ98" s="316">
        <v>0.75347222222222288</v>
      </c>
      <c r="FR98" s="316">
        <v>5.147222222222223</v>
      </c>
      <c r="FS98" s="316">
        <v>-0.68902777777777657</v>
      </c>
      <c r="FT98" s="316">
        <v>5.0649999999999977</v>
      </c>
      <c r="FU98" s="316">
        <v>4.9229166666666719</v>
      </c>
      <c r="FV98" s="316">
        <v>4.80375</v>
      </c>
      <c r="FW98" s="316">
        <v>3.8018055555555583</v>
      </c>
      <c r="FX98" s="316">
        <v>-7.2676388888888912</v>
      </c>
      <c r="FY98" s="316">
        <v>5.1479166666666707</v>
      </c>
      <c r="FZ98" s="316">
        <v>-3.3637499999999982</v>
      </c>
      <c r="GA98" s="316">
        <v>-3.7783333333333311</v>
      </c>
      <c r="GB98" s="316">
        <v>-2.5501388888888896</v>
      </c>
      <c r="GC98" s="316">
        <v>5.6036111111111087</v>
      </c>
      <c r="GD98" s="316">
        <v>0.10138888888888842</v>
      </c>
      <c r="GE98" s="316">
        <v>1.3869444444444492</v>
      </c>
      <c r="GF98" s="316">
        <v>3.3025000000000064</v>
      </c>
      <c r="GG98" s="316">
        <v>1.2433333333333321</v>
      </c>
      <c r="GH98" s="316">
        <v>2.388194444444439</v>
      </c>
      <c r="GI98" s="316">
        <v>7.1359722222222093</v>
      </c>
      <c r="GJ98" s="316">
        <v>6.0738888888888951</v>
      </c>
      <c r="GK98" s="316">
        <v>3.6915277777777771</v>
      </c>
      <c r="GL98" s="316">
        <v>-2.9833333333333334</v>
      </c>
      <c r="GM98" s="316">
        <v>1.3275000000000012</v>
      </c>
      <c r="GN98" s="316">
        <v>6.6549999999999958</v>
      </c>
      <c r="GO98" s="316">
        <v>2.3677777777777798</v>
      </c>
      <c r="GP98" s="316">
        <v>3.4768055555555546</v>
      </c>
      <c r="GQ98" s="316">
        <v>1.1033333333333342</v>
      </c>
      <c r="GR98" s="316">
        <v>-3.32097222222222</v>
      </c>
      <c r="GS98" s="316">
        <v>3.0411111111111122</v>
      </c>
      <c r="GT98" s="316">
        <v>3.3945833333333377</v>
      </c>
      <c r="GU98" s="316">
        <v>-6.7369444444444389</v>
      </c>
      <c r="GV98" s="316">
        <v>6.182500000000001</v>
      </c>
      <c r="GW98" s="316">
        <v>6.7091666666666674</v>
      </c>
      <c r="GX98" s="316">
        <v>5.0934722222222222</v>
      </c>
      <c r="GY98" s="316">
        <v>3.4199999999999977</v>
      </c>
      <c r="GZ98" s="316">
        <v>3.4016666666666726</v>
      </c>
      <c r="HA98" s="316">
        <v>1.4356944444444477</v>
      </c>
      <c r="HB98" s="316">
        <v>-2.922638888888891</v>
      </c>
      <c r="HC98" s="316">
        <v>-4.9719444444444454</v>
      </c>
      <c r="HD98" s="316">
        <v>2.5051388888888861</v>
      </c>
      <c r="HE98" s="316">
        <v>4.9194444444444487</v>
      </c>
      <c r="HF98" s="316">
        <v>-2.785833333333334</v>
      </c>
      <c r="HG98" s="316">
        <v>3.333194444444445</v>
      </c>
      <c r="HH98" s="316">
        <v>-0.61138888888888687</v>
      </c>
      <c r="HI98" s="316">
        <v>1.2641666666666671</v>
      </c>
      <c r="HJ98" s="316">
        <v>1.5093055555555546</v>
      </c>
      <c r="HK98" s="316">
        <v>6.2958333333333387</v>
      </c>
      <c r="HL98" s="316">
        <v>6.6715277777777686</v>
      </c>
      <c r="HM98" s="316">
        <v>-2.2369444444444446</v>
      </c>
      <c r="HN98" s="316">
        <v>3.9073611111111144</v>
      </c>
      <c r="HO98" s="316">
        <v>-1.9961111111111114</v>
      </c>
      <c r="HP98" s="316">
        <v>4.590694444444444</v>
      </c>
      <c r="HQ98" s="316">
        <v>3.22583333333333</v>
      </c>
      <c r="HR98" s="316">
        <v>-1.8356944444444443</v>
      </c>
      <c r="HS98" s="316">
        <v>-2.8145833333333328</v>
      </c>
      <c r="HT98" s="316">
        <v>1.0144444444444451</v>
      </c>
      <c r="HU98" s="316">
        <v>3.3786111111111135</v>
      </c>
      <c r="HV98" s="316">
        <v>1.5016666666666652</v>
      </c>
      <c r="HW98" s="316">
        <v>3.6772222222222246</v>
      </c>
      <c r="HX98" s="316">
        <v>3.2001388888888931</v>
      </c>
      <c r="HY98" s="316">
        <v>6.1456944444444437</v>
      </c>
      <c r="HZ98" s="316">
        <v>4.6434722222222202</v>
      </c>
      <c r="IA98" s="316">
        <v>3.839722222222226</v>
      </c>
      <c r="IB98" s="316">
        <v>3.5355555555555593</v>
      </c>
      <c r="IC98" s="316">
        <v>1.4126000000000001</v>
      </c>
      <c r="ID98" s="316">
        <v>-1.4237500000000007</v>
      </c>
      <c r="IE98" s="316">
        <v>4.5318055555555574</v>
      </c>
      <c r="IF98" s="316">
        <v>6.2265277777777781</v>
      </c>
      <c r="IG98" s="316">
        <v>6.2570833333333411</v>
      </c>
      <c r="IH98" s="316">
        <v>0.28666666666666618</v>
      </c>
      <c r="II98" s="316">
        <v>5.2107999999999999</v>
      </c>
      <c r="IJ98" s="316">
        <v>3.812083333333331</v>
      </c>
      <c r="IK98" s="316">
        <v>3.3229166666666687</v>
      </c>
      <c r="IL98" s="316">
        <v>7.4899999999999993</v>
      </c>
      <c r="IM98" s="316">
        <v>4.2404166666666727</v>
      </c>
      <c r="IN98" s="316">
        <v>3.4330555555555553</v>
      </c>
      <c r="IO98" s="316">
        <v>3.4548611111111072</v>
      </c>
      <c r="IP98" s="316">
        <v>3.0276388888888879</v>
      </c>
      <c r="IQ98" s="316">
        <v>-3.1519444444444429</v>
      </c>
      <c r="IR98" s="316">
        <v>1.2894444444444459</v>
      </c>
      <c r="IS98" s="316">
        <v>3.6176388888888882</v>
      </c>
      <c r="IT98" s="316">
        <v>4.6306944444444467</v>
      </c>
      <c r="IU98" s="316">
        <v>4.769444444444443</v>
      </c>
      <c r="IV98" s="316">
        <v>3.4274999999999975</v>
      </c>
      <c r="IW98" s="316">
        <v>1.3079166666666677</v>
      </c>
      <c r="IX98" s="316">
        <v>2.8331944444444472</v>
      </c>
      <c r="IY98" s="316">
        <v>2.7052777777777788</v>
      </c>
      <c r="IZ98" s="316">
        <v>1.9030555555555539</v>
      </c>
      <c r="JA98" s="316">
        <v>4.2069444444444422</v>
      </c>
      <c r="JB98" s="316">
        <v>3.8190277777777761</v>
      </c>
      <c r="JC98" s="316">
        <v>3.9433333333333342</v>
      </c>
      <c r="JD98" s="316">
        <v>2.2445833333333374</v>
      </c>
      <c r="JE98" s="316">
        <v>-0.4661111111111137</v>
      </c>
      <c r="JF98" s="316">
        <v>3.9847222222222234</v>
      </c>
      <c r="JG98" s="316">
        <v>6.2188888888888956</v>
      </c>
      <c r="JH98" s="316">
        <v>3.4311111111111101</v>
      </c>
      <c r="JI98" s="316">
        <v>-4.5654166666666667</v>
      </c>
      <c r="JJ98" s="316">
        <v>3.5399999999999983</v>
      </c>
      <c r="JK98" s="316">
        <v>-4.1595833333333312</v>
      </c>
      <c r="JL98" s="316">
        <v>2.8462499999999991</v>
      </c>
      <c r="JM98" s="316">
        <v>5.491527777777776</v>
      </c>
      <c r="JN98" s="316">
        <v>3.9322222222222294</v>
      </c>
      <c r="JO98" s="316">
        <v>4.31805555555556</v>
      </c>
      <c r="JP98" s="316">
        <v>-3.1556944444444435</v>
      </c>
      <c r="JQ98" s="316">
        <v>3.5041666666666615</v>
      </c>
      <c r="JR98" s="316">
        <v>4.2869444444444458</v>
      </c>
      <c r="JS98" s="316">
        <v>4.8673611111111139</v>
      </c>
      <c r="JT98" s="316">
        <v>2.1605555555555571</v>
      </c>
      <c r="JU98" s="316">
        <v>4.1626388888888872</v>
      </c>
      <c r="JV98" s="316">
        <v>3.2734722222222183</v>
      </c>
      <c r="JW98" s="316">
        <v>7.1654166666666548</v>
      </c>
      <c r="JX98" s="316">
        <v>3.6327777777777817</v>
      </c>
      <c r="JY98" s="316">
        <v>-2.2952777777777769</v>
      </c>
      <c r="JZ98" s="316">
        <v>-2.3162499999999993</v>
      </c>
      <c r="KA98" s="316">
        <v>2.1568055555555543</v>
      </c>
      <c r="KB98" s="316">
        <v>3.2806944444444501</v>
      </c>
      <c r="KC98" s="316">
        <v>3.3662499999999964</v>
      </c>
      <c r="KD98" s="316">
        <v>4.6212499999999981</v>
      </c>
      <c r="KE98" s="316">
        <v>-1.6912500000000006</v>
      </c>
      <c r="KF98" s="316">
        <v>-5.7372222222222229</v>
      </c>
      <c r="KG98" s="316">
        <v>6.2016666666666689</v>
      </c>
      <c r="KH98" s="316">
        <v>6.9052777777777816</v>
      </c>
      <c r="KI98" s="316">
        <v>4.1233333333333357</v>
      </c>
      <c r="KJ98" s="316">
        <v>2.4919444444444427</v>
      </c>
      <c r="KK98" s="316">
        <v>5.3204166666666719</v>
      </c>
      <c r="KL98" s="316">
        <v>-1.7612499999999978</v>
      </c>
      <c r="KM98" s="316">
        <v>-1.4000000000000001</v>
      </c>
      <c r="KN98" s="316">
        <v>2.9688888888888862</v>
      </c>
      <c r="KO98" s="316">
        <v>2.2129166666666706</v>
      </c>
      <c r="KP98" s="316">
        <v>-0.10027777777777626</v>
      </c>
      <c r="KQ98" s="316">
        <v>-5.6241666666666648</v>
      </c>
      <c r="KR98" s="316">
        <v>-5.2604166666666643</v>
      </c>
    </row>
    <row r="99" spans="1:304" s="315" customFormat="1" x14ac:dyDescent="0.25">
      <c r="A99" s="310">
        <v>2021</v>
      </c>
      <c r="B99" s="310">
        <v>12</v>
      </c>
      <c r="C99" s="316">
        <v>-10.543682795698924</v>
      </c>
      <c r="D99" s="316">
        <v>-2.2663978494623653</v>
      </c>
      <c r="E99" s="316">
        <v>-1.1012096774193556</v>
      </c>
      <c r="F99" s="316">
        <v>-1.6217741935483894</v>
      </c>
      <c r="G99" s="316">
        <v>-2.2900537634408606</v>
      </c>
      <c r="H99" s="316">
        <v>-3.1741935483870964</v>
      </c>
      <c r="I99" s="316">
        <v>-11.70846774193549</v>
      </c>
      <c r="J99" s="316">
        <v>-11.096370967741956</v>
      </c>
      <c r="K99" s="316">
        <v>-4.3528225806451575</v>
      </c>
      <c r="L99" s="316">
        <v>-2.9186827956989236</v>
      </c>
      <c r="M99" s="316">
        <v>-4.137500000000002</v>
      </c>
      <c r="N99" s="316">
        <v>-2.2625000000000002</v>
      </c>
      <c r="O99" s="316">
        <v>-9.1306451612903228</v>
      </c>
      <c r="P99" s="316">
        <v>0.58454301075268811</v>
      </c>
      <c r="Q99" s="316">
        <v>-10.557795698924735</v>
      </c>
      <c r="R99" s="316">
        <v>-2.0639784946236559</v>
      </c>
      <c r="S99" s="316">
        <v>-5.8419354838709721</v>
      </c>
      <c r="T99" s="316">
        <v>0.18763440860215069</v>
      </c>
      <c r="U99" s="316">
        <v>-4.7271999999999998</v>
      </c>
      <c r="V99" s="316">
        <v>-2.3283602150537686</v>
      </c>
      <c r="W99" s="316">
        <v>-2.3463709677419344</v>
      </c>
      <c r="X99" s="316">
        <v>-0.79086021505376458</v>
      </c>
      <c r="Y99" s="316">
        <v>0.2533602150537636</v>
      </c>
      <c r="Z99" s="316">
        <v>-7.8033602150537682</v>
      </c>
      <c r="AA99" s="316">
        <v>1.8975806451612891</v>
      </c>
      <c r="AB99" s="316">
        <v>0.32836021505376312</v>
      </c>
      <c r="AC99" s="316">
        <v>-5.5268817204301062</v>
      </c>
      <c r="AD99" s="316">
        <v>-2.3831989247311856</v>
      </c>
      <c r="AE99" s="316">
        <v>-2.3650537634408617</v>
      </c>
      <c r="AF99" s="316">
        <v>-3.7942204301075271</v>
      </c>
      <c r="AG99" s="316">
        <v>-6.1594086021505365</v>
      </c>
      <c r="AH99" s="316">
        <v>-10.268951612903221</v>
      </c>
      <c r="AI99" s="316">
        <v>-6.2934139784946224</v>
      </c>
      <c r="AJ99" s="316">
        <v>-2.8959677419354821</v>
      </c>
      <c r="AK99" s="316">
        <v>-2.0638440860215046</v>
      </c>
      <c r="AL99" s="316">
        <v>-3.5090053763440805</v>
      </c>
      <c r="AM99" s="316">
        <v>-3.0104838709677417</v>
      </c>
      <c r="AN99" s="316">
        <v>0.69153225806451601</v>
      </c>
      <c r="AO99" s="316">
        <v>-2.0813172043010759</v>
      </c>
      <c r="AP99" s="316">
        <v>-4.0130376344086027</v>
      </c>
      <c r="AQ99" s="316">
        <v>5.5779569892472652E-2</v>
      </c>
      <c r="AR99" s="316">
        <v>-2.5100806451612883</v>
      </c>
      <c r="AS99" s="316">
        <v>3.1749999999999998</v>
      </c>
      <c r="AT99" s="316">
        <v>-4.9391129032258121</v>
      </c>
      <c r="AU99" s="316">
        <v>-4.6768817204301145</v>
      </c>
      <c r="AV99" s="316">
        <v>-3.8549731182795659</v>
      </c>
      <c r="AW99" s="316">
        <v>-2.7844086021505356</v>
      </c>
      <c r="AX99" s="316">
        <v>-2.8759408602150516</v>
      </c>
      <c r="AY99" s="316">
        <v>-3.8547043010752695</v>
      </c>
      <c r="AZ99" s="316">
        <v>-9.8223118279569928</v>
      </c>
      <c r="BA99" s="316">
        <v>-2.2233870967741924</v>
      </c>
      <c r="BB99" s="316">
        <v>-7.5072580645161349</v>
      </c>
      <c r="BC99" s="316">
        <v>-5.251612903225805</v>
      </c>
      <c r="BD99" s="316">
        <v>-2.5426075268817185</v>
      </c>
      <c r="BE99" s="316">
        <v>-2.5657258064516095</v>
      </c>
      <c r="BF99" s="316">
        <v>-1.7455645161290312</v>
      </c>
      <c r="BG99" s="316">
        <v>-11.412231182795701</v>
      </c>
      <c r="BH99" s="316">
        <v>-11.526344086021522</v>
      </c>
      <c r="BI99" s="316">
        <v>-3.295295698924734</v>
      </c>
      <c r="BJ99" s="316">
        <v>-0.30188172043010669</v>
      </c>
      <c r="BK99" s="316">
        <v>-1.7081989247311835</v>
      </c>
      <c r="BL99" s="316">
        <v>-3.0552419354838727</v>
      </c>
      <c r="BM99" s="316">
        <v>-5.6064516129032267</v>
      </c>
      <c r="BN99" s="316">
        <v>-3.0723118279569905</v>
      </c>
      <c r="BO99" s="316">
        <v>-3.6147849462365587</v>
      </c>
      <c r="BP99" s="316">
        <v>-1.2096774193541169E-3</v>
      </c>
      <c r="BQ99" s="316">
        <v>-8.9315860215053799</v>
      </c>
      <c r="BR99" s="316">
        <v>-2.2961021505376342</v>
      </c>
      <c r="BS99" s="316">
        <v>-2.2479838709677455</v>
      </c>
      <c r="BT99" s="316">
        <v>-9.944489247311834</v>
      </c>
      <c r="BU99" s="316">
        <v>-8.1559139784946328</v>
      </c>
      <c r="BV99" s="316">
        <v>-4.3635752688172058</v>
      </c>
      <c r="BW99" s="316">
        <v>1.2540322580645153</v>
      </c>
      <c r="BX99" s="316">
        <v>-10.092204301075276</v>
      </c>
      <c r="BY99" s="316">
        <v>-6.8279569892472775E-2</v>
      </c>
      <c r="BZ99" s="316">
        <v>-2.2341397849462359</v>
      </c>
      <c r="CA99" s="316">
        <v>-1.1502688172043014</v>
      </c>
      <c r="CB99" s="316">
        <v>-4.5401881720430088</v>
      </c>
      <c r="CC99" s="316">
        <v>-2.4006720430107533</v>
      </c>
      <c r="CD99" s="316">
        <v>-2.2627688172043015</v>
      </c>
      <c r="CE99" s="316">
        <v>-4.444489247311826</v>
      </c>
      <c r="CF99" s="316">
        <v>-2.6723118279569884</v>
      </c>
      <c r="CG99" s="316">
        <v>-1.8280913978494642</v>
      </c>
      <c r="CH99" s="316">
        <v>-4.5302419354838639</v>
      </c>
      <c r="CI99" s="316">
        <v>-4.8516129032258055</v>
      </c>
      <c r="CJ99" s="316">
        <v>-1.0137096774193552</v>
      </c>
      <c r="CK99" s="316">
        <v>-0.73427419354838797</v>
      </c>
      <c r="CL99" s="316">
        <v>1.4620967741935473</v>
      </c>
      <c r="CM99" s="316">
        <v>-2.0377688172043036</v>
      </c>
      <c r="CN99" s="316">
        <v>0.12284946236559152</v>
      </c>
      <c r="CO99" s="316">
        <v>4.0860215053762992E-2</v>
      </c>
      <c r="CP99" s="316">
        <v>-12.48279569892474</v>
      </c>
      <c r="CQ99" s="316">
        <v>-10.390994623655926</v>
      </c>
      <c r="CR99" s="316">
        <v>-2.3458333333333345</v>
      </c>
      <c r="CS99" s="316">
        <v>-2.1436827956989233</v>
      </c>
      <c r="CT99" s="316">
        <v>-9.8825268817204215</v>
      </c>
      <c r="CU99" s="316">
        <v>-0.27486559139784944</v>
      </c>
      <c r="CV99" s="316">
        <v>-13.342607526881704</v>
      </c>
      <c r="CW99" s="316">
        <v>-1.0999999999999999</v>
      </c>
      <c r="CX99" s="316">
        <v>-0.21465053763440908</v>
      </c>
      <c r="CY99" s="316">
        <v>-4.023924731182797</v>
      </c>
      <c r="CZ99" s="316">
        <v>0.16586021505376364</v>
      </c>
      <c r="DA99" s="316">
        <v>-2.9619623655913996</v>
      </c>
      <c r="DB99" s="316">
        <v>-2.9153225806451641</v>
      </c>
      <c r="DC99" s="316">
        <v>-3.7313172043010772</v>
      </c>
      <c r="DD99" s="316">
        <v>-1.9969086021505391</v>
      </c>
      <c r="DE99" s="316">
        <v>-12.102016129032259</v>
      </c>
      <c r="DF99" s="316">
        <v>-2.8034946236559142</v>
      </c>
      <c r="DG99" s="316">
        <v>-4.7849462365591608E-2</v>
      </c>
      <c r="DH99" s="316">
        <v>-3.5768817204301047</v>
      </c>
      <c r="DI99" s="316">
        <v>-4.7370967741935512</v>
      </c>
      <c r="DJ99" s="316">
        <v>-7.5330645161290324</v>
      </c>
      <c r="DK99" s="316">
        <v>0.21854838709677435</v>
      </c>
      <c r="DL99" s="316">
        <v>-3.499462365591397</v>
      </c>
      <c r="DM99" s="316">
        <v>-3.0268817204301057</v>
      </c>
      <c r="DN99" s="316">
        <v>-0.50551075268817192</v>
      </c>
      <c r="DO99" s="316">
        <v>-3.1841397849462392</v>
      </c>
      <c r="DP99" s="316">
        <v>-0.84690860215053732</v>
      </c>
      <c r="DQ99" s="316">
        <v>-13.49704301075268</v>
      </c>
      <c r="DR99" s="316">
        <v>1.2791666666666668</v>
      </c>
      <c r="DS99" s="316">
        <v>-3.4338709677419303</v>
      </c>
      <c r="DT99" s="316">
        <v>-0.27405913978494661</v>
      </c>
      <c r="DU99" s="316">
        <v>1.6430107526881725</v>
      </c>
      <c r="DV99" s="316">
        <v>-3.1705645161290361</v>
      </c>
      <c r="DW99" s="316">
        <v>-3.2786290322580656</v>
      </c>
      <c r="DX99" s="316">
        <v>-5.1086021505376387</v>
      </c>
      <c r="DY99" s="316">
        <v>-1.3415322580645175</v>
      </c>
      <c r="DZ99" s="316">
        <v>-2.3322580645161284</v>
      </c>
      <c r="EA99" s="316">
        <v>-2.2606182795698921</v>
      </c>
      <c r="EB99" s="316">
        <v>-2.2970430107526894</v>
      </c>
      <c r="EC99" s="316">
        <v>-1.7619623655913998</v>
      </c>
      <c r="ED99" s="316">
        <v>-3.9615591397849439</v>
      </c>
      <c r="EE99" s="316">
        <v>-1.3329301075268811</v>
      </c>
      <c r="EF99" s="316">
        <v>-1.917876344086022</v>
      </c>
      <c r="EG99" s="316">
        <v>-7.3514784946236489</v>
      </c>
      <c r="EH99" s="316">
        <v>1.8681451612903222</v>
      </c>
      <c r="EI99" s="316">
        <v>-4.3795698924731159</v>
      </c>
      <c r="EJ99" s="316">
        <v>-8.9590053763440878</v>
      </c>
      <c r="EK99" s="316">
        <v>1.3961021505376348</v>
      </c>
      <c r="EL99" s="316">
        <v>-11.76706989247311</v>
      </c>
      <c r="EM99" s="316">
        <v>-0.72137096774193477</v>
      </c>
      <c r="EN99" s="316">
        <v>-2.5717741935483889</v>
      </c>
      <c r="EO99" s="316">
        <v>2.0771505376344082</v>
      </c>
      <c r="EP99" s="316">
        <v>-6.1064516129032267</v>
      </c>
      <c r="EQ99" s="316">
        <v>-11.614784946236547</v>
      </c>
      <c r="ER99" s="316">
        <v>-1.4091397849462373</v>
      </c>
      <c r="ES99" s="316">
        <v>-1.2204301075268804</v>
      </c>
      <c r="ET99" s="316">
        <v>-0.8651881720430119</v>
      </c>
      <c r="EU99" s="316">
        <v>-2.4024193548387105</v>
      </c>
      <c r="EV99" s="316">
        <v>-5.6809139784946279</v>
      </c>
      <c r="EW99" s="316">
        <v>-2.1400537634408616</v>
      </c>
      <c r="EX99" s="316">
        <v>-2.0709677419354828</v>
      </c>
      <c r="EY99" s="316">
        <v>-4.5943548387096804</v>
      </c>
      <c r="EZ99" s="316">
        <v>-3.6983870967741916</v>
      </c>
      <c r="FA99" s="316">
        <v>-0.68440860215053689</v>
      </c>
      <c r="FB99" s="316">
        <v>-0.62741935483871125</v>
      </c>
      <c r="FC99" s="316">
        <v>0.10645161290322566</v>
      </c>
      <c r="FD99" s="316">
        <v>-2.1221774193548399</v>
      </c>
      <c r="FE99" s="316">
        <v>-3.8506720430107504</v>
      </c>
      <c r="FF99" s="316">
        <v>-4.073252688172043</v>
      </c>
      <c r="FG99" s="316">
        <v>-5.50739247311828</v>
      </c>
      <c r="FH99" s="316">
        <v>-7.0740591397849517</v>
      </c>
      <c r="FI99" s="316">
        <v>-2.3669354838709711</v>
      </c>
      <c r="FJ99" s="316">
        <v>-2.7610215053763416</v>
      </c>
      <c r="FK99" s="316">
        <v>-10.457795698924745</v>
      </c>
      <c r="FL99" s="316">
        <v>-1.6660999999999999</v>
      </c>
      <c r="FM99" s="316">
        <v>-2.4606182795698897</v>
      </c>
      <c r="FN99" s="316">
        <v>-2.2237903225806468</v>
      </c>
      <c r="FO99" s="316">
        <v>-1.4274193548387089</v>
      </c>
      <c r="FP99" s="316">
        <v>-2.9634408602150528</v>
      </c>
      <c r="FQ99" s="316">
        <v>-4.2420698924731228</v>
      </c>
      <c r="FR99" s="316">
        <v>-1.0075268817204297</v>
      </c>
      <c r="FS99" s="316">
        <v>-6.2744623655914049</v>
      </c>
      <c r="FT99" s="316">
        <v>-1.3607526881720442</v>
      </c>
      <c r="FU99" s="316">
        <v>-1.2270161290322572</v>
      </c>
      <c r="FV99" s="316">
        <v>-0.96801075268817316</v>
      </c>
      <c r="FW99" s="316">
        <v>-1.528494623655914</v>
      </c>
      <c r="FX99" s="316">
        <v>-12.244354838709697</v>
      </c>
      <c r="FY99" s="316">
        <v>-0.96344086021505371</v>
      </c>
      <c r="FZ99" s="316">
        <v>-8.4232526881720489</v>
      </c>
      <c r="GA99" s="316">
        <v>-11.083870967741948</v>
      </c>
      <c r="GB99" s="316">
        <v>-7.0874999999999959</v>
      </c>
      <c r="GC99" s="316">
        <v>-0.23884408602150517</v>
      </c>
      <c r="GD99" s="316">
        <v>-5.4959677419354849</v>
      </c>
      <c r="GE99" s="316">
        <v>-4.0157258064516137</v>
      </c>
      <c r="GF99" s="316">
        <v>-2.2166666666666659</v>
      </c>
      <c r="GG99" s="316">
        <v>-4.0775537634408661</v>
      </c>
      <c r="GH99" s="316">
        <v>-3.2778225806451586</v>
      </c>
      <c r="GI99" s="316">
        <v>1.9493279569892501</v>
      </c>
      <c r="GJ99" s="316">
        <v>0.70241935483870943</v>
      </c>
      <c r="GK99" s="316">
        <v>-2.0435483870967697</v>
      </c>
      <c r="GL99" s="316">
        <v>-8.0794354838709701</v>
      </c>
      <c r="GM99" s="316">
        <v>-3.9995967741935474</v>
      </c>
      <c r="GN99" s="316">
        <v>1.5545698924731184</v>
      </c>
      <c r="GO99" s="316">
        <v>-2.8165322580645173</v>
      </c>
      <c r="GP99" s="316">
        <v>-2.2557795698924745</v>
      </c>
      <c r="GQ99" s="316">
        <v>-4.227553763440854</v>
      </c>
      <c r="GR99" s="316">
        <v>-9.3775537634408455</v>
      </c>
      <c r="GS99" s="316">
        <v>-2.545430107526883</v>
      </c>
      <c r="GT99" s="316">
        <v>-2.1958333333333337</v>
      </c>
      <c r="GU99" s="316">
        <v>-12.363978494623662</v>
      </c>
      <c r="GV99" s="316">
        <v>0.16962365591397879</v>
      </c>
      <c r="GW99" s="316">
        <v>1.502016129032258</v>
      </c>
      <c r="GX99" s="316">
        <v>-1.102016129032261</v>
      </c>
      <c r="GY99" s="316">
        <v>-2.1508064516129033</v>
      </c>
      <c r="GZ99" s="316">
        <v>-2.1776881720430095</v>
      </c>
      <c r="HA99" s="316">
        <v>-4.5161290322580605</v>
      </c>
      <c r="HB99" s="316">
        <v>-6.4666666666666712</v>
      </c>
      <c r="HC99" s="316">
        <v>-11.333870967741936</v>
      </c>
      <c r="HD99" s="316">
        <v>-2.9618279569892478</v>
      </c>
      <c r="HE99" s="316">
        <v>-1.1450268817204301</v>
      </c>
      <c r="HF99" s="316">
        <v>-8.4775537634408611</v>
      </c>
      <c r="HG99" s="316">
        <v>-2.2509408602150547</v>
      </c>
      <c r="HH99" s="316">
        <v>-5.9415322580645133</v>
      </c>
      <c r="HI99" s="316">
        <v>-4.1567204301075291</v>
      </c>
      <c r="HJ99" s="316">
        <v>-3.7959677419354896</v>
      </c>
      <c r="HK99" s="316">
        <v>0.70336021505376334</v>
      </c>
      <c r="HL99" s="316">
        <v>1.6204301075268788</v>
      </c>
      <c r="HM99" s="316">
        <v>-7.8947580645161333</v>
      </c>
      <c r="HN99" s="316">
        <v>-2.519354838709674</v>
      </c>
      <c r="HO99" s="316">
        <v>-7.232661290322576</v>
      </c>
      <c r="HP99" s="316">
        <v>-1.2982526881720435</v>
      </c>
      <c r="HQ99" s="316">
        <v>-2.1545698924731163</v>
      </c>
      <c r="HR99" s="316">
        <v>-6.7509408602150556</v>
      </c>
      <c r="HS99" s="316">
        <v>-8.9161290322580609</v>
      </c>
      <c r="HT99" s="316">
        <v>-4.4900537634408595</v>
      </c>
      <c r="HU99" s="316">
        <v>-3.129301075268816</v>
      </c>
      <c r="HV99" s="316">
        <v>-3.4217741935483885</v>
      </c>
      <c r="HW99" s="316">
        <v>-2.2456989247311827</v>
      </c>
      <c r="HX99" s="316">
        <v>-2.2780913978494595</v>
      </c>
      <c r="HY99" s="316">
        <v>0.586559139784947</v>
      </c>
      <c r="HZ99" s="316">
        <v>-1.447311827956989</v>
      </c>
      <c r="IA99" s="316">
        <v>-1.8745967741935481</v>
      </c>
      <c r="IB99" s="316">
        <v>-2.2635752688172008</v>
      </c>
      <c r="IC99" s="316">
        <v>-3.9901</v>
      </c>
      <c r="ID99" s="316">
        <v>-6.6602150537634381</v>
      </c>
      <c r="IE99" s="316">
        <v>-1.7680107526881712</v>
      </c>
      <c r="IF99" s="316">
        <v>0.3052419354838703</v>
      </c>
      <c r="IG99" s="316">
        <v>0.84274193548387177</v>
      </c>
      <c r="IH99" s="316">
        <v>-5.1482526881720441</v>
      </c>
      <c r="II99" s="316">
        <v>-0.4899</v>
      </c>
      <c r="IJ99" s="316">
        <v>-2.7147849462365583</v>
      </c>
      <c r="IK99" s="316">
        <v>-2.6181451612903177</v>
      </c>
      <c r="IL99" s="316">
        <v>2.5233870967741932</v>
      </c>
      <c r="IM99" s="316">
        <v>-1.9163978494623668</v>
      </c>
      <c r="IN99" s="316">
        <v>-1.9572580645161297</v>
      </c>
      <c r="IO99" s="316">
        <v>-2.0494623655913995</v>
      </c>
      <c r="IP99" s="316">
        <v>-2.5755376344085996</v>
      </c>
      <c r="IQ99" s="316">
        <v>-7.7216397849462375</v>
      </c>
      <c r="IR99" s="316">
        <v>-4.1751344086021485</v>
      </c>
      <c r="IS99" s="316">
        <v>-2.1012096774193574</v>
      </c>
      <c r="IT99" s="316">
        <v>-1.8096774193548395</v>
      </c>
      <c r="IU99" s="316">
        <v>-1.4650537634408598</v>
      </c>
      <c r="IV99" s="316">
        <v>-2.797043010752688</v>
      </c>
      <c r="IW99" s="316">
        <v>-4.137500000000002</v>
      </c>
      <c r="IX99" s="316">
        <v>-2.8413978494623588</v>
      </c>
      <c r="IY99" s="316">
        <v>-2.900403225806456</v>
      </c>
      <c r="IZ99" s="316">
        <v>-3.6577956989247271</v>
      </c>
      <c r="JA99" s="316">
        <v>-1.7112903225806464</v>
      </c>
      <c r="JB99" s="316">
        <v>-2.9299731182795674</v>
      </c>
      <c r="JC99" s="316">
        <v>-1.8287634408602174</v>
      </c>
      <c r="JD99" s="316">
        <v>-3.3053763440860235</v>
      </c>
      <c r="JE99" s="316">
        <v>-5.7541666666666744</v>
      </c>
      <c r="JF99" s="316">
        <v>-1.8540322580645165</v>
      </c>
      <c r="JG99" s="316">
        <v>0.14274193548387137</v>
      </c>
      <c r="JH99" s="316">
        <v>-2.9463709677419372</v>
      </c>
      <c r="JI99" s="316">
        <v>-11.194892473118266</v>
      </c>
      <c r="JJ99" s="316">
        <v>-2.8919354838709648</v>
      </c>
      <c r="JK99" s="316">
        <v>-10.001881720430125</v>
      </c>
      <c r="JL99" s="316">
        <v>-2.797043010752688</v>
      </c>
      <c r="JM99" s="316">
        <v>3.1048387096774606E-2</v>
      </c>
      <c r="JN99" s="316">
        <v>-2.1430107526881721</v>
      </c>
      <c r="JO99" s="316">
        <v>-1.7327956989247324</v>
      </c>
      <c r="JP99" s="316">
        <v>-8.9008064516128975</v>
      </c>
      <c r="JQ99" s="316">
        <v>-2.0314516129032278</v>
      </c>
      <c r="JR99" s="316">
        <v>-2.4481182795698904</v>
      </c>
      <c r="JS99" s="316">
        <v>-0.7747311827956983</v>
      </c>
      <c r="JT99" s="316">
        <v>-3.3244623655914021</v>
      </c>
      <c r="JU99" s="316">
        <v>-2.2981182795698931</v>
      </c>
      <c r="JV99" s="316">
        <v>-2.8616935483870991</v>
      </c>
      <c r="JW99" s="316">
        <v>1.9825268817204305</v>
      </c>
      <c r="JX99" s="316">
        <v>-1.5935483870967742</v>
      </c>
      <c r="JY99" s="316">
        <v>-8.1622311827957059</v>
      </c>
      <c r="JZ99" s="316">
        <v>-6.8072580645161231</v>
      </c>
      <c r="KA99" s="316">
        <v>-3.4440860215053752</v>
      </c>
      <c r="KB99" s="316">
        <v>-2.9733870967741933</v>
      </c>
      <c r="KC99" s="316">
        <v>-2.6353494623655895</v>
      </c>
      <c r="KD99" s="316">
        <v>-1.7854838709677436</v>
      </c>
      <c r="KE99" s="316">
        <v>-6.9543010752688232</v>
      </c>
      <c r="KF99" s="316">
        <v>-10.141666666666673</v>
      </c>
      <c r="KG99" s="316">
        <v>0.39650537634408745</v>
      </c>
      <c r="KH99" s="316">
        <v>1.0479838709677407</v>
      </c>
      <c r="KI99" s="316">
        <v>-1.5435483870967728</v>
      </c>
      <c r="KJ99" s="316">
        <v>-3.0045698924731141</v>
      </c>
      <c r="KK99" s="316">
        <v>-0.68037634408602288</v>
      </c>
      <c r="KL99" s="316">
        <v>-7.140725806451611</v>
      </c>
      <c r="KM99" s="316">
        <v>-6.7072580645161226</v>
      </c>
      <c r="KN99" s="316">
        <v>-2.6153225806451608</v>
      </c>
      <c r="KO99" s="316">
        <v>-2.8903225806451638</v>
      </c>
      <c r="KP99" s="316">
        <v>-5.7568548387096836</v>
      </c>
      <c r="KQ99" s="316">
        <v>-11.053763440860227</v>
      </c>
      <c r="KR99" s="316">
        <v>-10.913844086021502</v>
      </c>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6C2A9-E2E0-4A54-B6C2-502819E55344}">
  <sheetPr codeName="Sheet6"/>
  <dimension ref="A1:AR331"/>
  <sheetViews>
    <sheetView workbookViewId="0">
      <selection activeCell="L28" sqref="L28"/>
    </sheetView>
  </sheetViews>
  <sheetFormatPr defaultRowHeight="15" x14ac:dyDescent="0.25"/>
  <cols>
    <col min="1" max="1" width="20.140625" customWidth="1"/>
    <col min="2" max="2" width="14.85546875" customWidth="1"/>
    <col min="3" max="3" width="4.85546875" customWidth="1"/>
    <col min="4" max="4" width="20.140625" customWidth="1"/>
    <col min="7" max="7" width="26.85546875" customWidth="1"/>
  </cols>
  <sheetData>
    <row r="1" spans="1:44" x14ac:dyDescent="0.25">
      <c r="A1" s="13" t="s">
        <v>339</v>
      </c>
      <c r="B1" s="13" t="s">
        <v>339</v>
      </c>
      <c r="C1">
        <v>1</v>
      </c>
      <c r="D1" s="13" t="s">
        <v>339</v>
      </c>
      <c r="G1" s="12" t="s">
        <v>340</v>
      </c>
      <c r="H1" s="12">
        <v>1</v>
      </c>
      <c r="I1" s="12">
        <v>1.9</v>
      </c>
      <c r="K1" t="s">
        <v>1043</v>
      </c>
    </row>
    <row r="2" spans="1:44" x14ac:dyDescent="0.25">
      <c r="A2" t="s">
        <v>1561</v>
      </c>
      <c r="B2" s="13" t="s">
        <v>32</v>
      </c>
      <c r="C2">
        <v>2</v>
      </c>
      <c r="D2" t="s">
        <v>32</v>
      </c>
      <c r="E2">
        <v>59.357999999999997</v>
      </c>
      <c r="F2">
        <v>17.524000000000001</v>
      </c>
      <c r="G2" t="s">
        <v>341</v>
      </c>
      <c r="H2">
        <v>3</v>
      </c>
      <c r="I2">
        <v>1</v>
      </c>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row>
    <row r="3" spans="1:44" x14ac:dyDescent="0.25">
      <c r="A3" t="s">
        <v>33</v>
      </c>
      <c r="B3" s="13" t="s">
        <v>33</v>
      </c>
      <c r="C3">
        <v>3</v>
      </c>
      <c r="D3" t="s">
        <v>33</v>
      </c>
      <c r="E3">
        <v>57.915999999999997</v>
      </c>
      <c r="F3">
        <v>12.064</v>
      </c>
      <c r="G3" t="s">
        <v>342</v>
      </c>
      <c r="H3">
        <v>3</v>
      </c>
      <c r="I3">
        <v>1</v>
      </c>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row>
    <row r="4" spans="1:44" x14ac:dyDescent="0.25">
      <c r="A4" t="s">
        <v>1496</v>
      </c>
      <c r="B4" s="13" t="s">
        <v>34</v>
      </c>
      <c r="C4">
        <v>4</v>
      </c>
      <c r="D4" t="s">
        <v>34</v>
      </c>
      <c r="E4">
        <v>57.927999999999997</v>
      </c>
      <c r="F4">
        <v>12.539</v>
      </c>
      <c r="G4" t="s">
        <v>342</v>
      </c>
      <c r="H4">
        <v>3</v>
      </c>
      <c r="I4">
        <v>1</v>
      </c>
    </row>
    <row r="5" spans="1:44" x14ac:dyDescent="0.25">
      <c r="A5" t="s">
        <v>37</v>
      </c>
      <c r="B5" s="13" t="s">
        <v>37</v>
      </c>
      <c r="C5">
        <v>7</v>
      </c>
      <c r="D5" t="s">
        <v>37</v>
      </c>
      <c r="E5">
        <v>56.9</v>
      </c>
      <c r="F5">
        <v>14.555999999999999</v>
      </c>
      <c r="G5" t="s">
        <v>343</v>
      </c>
      <c r="H5">
        <v>3</v>
      </c>
      <c r="I5">
        <v>1</v>
      </c>
    </row>
    <row r="6" spans="1:44" x14ac:dyDescent="0.25">
      <c r="A6" t="s">
        <v>42</v>
      </c>
      <c r="B6" s="13" t="s">
        <v>42</v>
      </c>
      <c r="C6">
        <v>12</v>
      </c>
      <c r="D6" t="s">
        <v>42</v>
      </c>
      <c r="E6">
        <v>59.392000000000003</v>
      </c>
      <c r="F6">
        <v>15.855</v>
      </c>
      <c r="G6" t="s">
        <v>346</v>
      </c>
      <c r="H6">
        <v>3</v>
      </c>
      <c r="I6">
        <v>1</v>
      </c>
    </row>
    <row r="7" spans="1:44" x14ac:dyDescent="0.25">
      <c r="A7" t="s">
        <v>45</v>
      </c>
      <c r="B7" s="13" t="s">
        <v>45</v>
      </c>
      <c r="C7">
        <v>15</v>
      </c>
      <c r="D7" t="s">
        <v>45</v>
      </c>
      <c r="E7">
        <v>66.049000000000007</v>
      </c>
      <c r="F7">
        <v>17.884</v>
      </c>
      <c r="G7" t="s">
        <v>340</v>
      </c>
      <c r="H7">
        <v>1</v>
      </c>
      <c r="I7">
        <v>1.7</v>
      </c>
    </row>
    <row r="8" spans="1:44" x14ac:dyDescent="0.25">
      <c r="A8" t="s">
        <v>46</v>
      </c>
      <c r="B8" s="13" t="s">
        <v>46</v>
      </c>
      <c r="C8">
        <v>16</v>
      </c>
      <c r="D8" t="s">
        <v>46</v>
      </c>
      <c r="E8">
        <v>65.591999999999999</v>
      </c>
      <c r="F8">
        <v>19.173999999999999</v>
      </c>
      <c r="G8" t="s">
        <v>340</v>
      </c>
      <c r="H8">
        <v>1</v>
      </c>
      <c r="I8">
        <v>1.6</v>
      </c>
    </row>
    <row r="9" spans="1:44" x14ac:dyDescent="0.25">
      <c r="A9" t="s">
        <v>47</v>
      </c>
      <c r="B9" s="13" t="s">
        <v>47</v>
      </c>
      <c r="C9">
        <v>17</v>
      </c>
      <c r="D9" t="s">
        <v>47</v>
      </c>
      <c r="E9">
        <v>59.652999999999999</v>
      </c>
      <c r="F9">
        <v>12.606</v>
      </c>
      <c r="G9" t="s">
        <v>347</v>
      </c>
      <c r="H9">
        <v>2</v>
      </c>
      <c r="I9">
        <v>1.1000000000000001</v>
      </c>
    </row>
    <row r="10" spans="1:44" x14ac:dyDescent="0.25">
      <c r="A10" t="s">
        <v>49</v>
      </c>
      <c r="B10" s="13" t="s">
        <v>49</v>
      </c>
      <c r="C10">
        <v>19</v>
      </c>
      <c r="D10" t="s">
        <v>49</v>
      </c>
      <c r="E10">
        <v>58.883000000000003</v>
      </c>
      <c r="F10">
        <v>14.914</v>
      </c>
      <c r="G10" t="s">
        <v>348</v>
      </c>
      <c r="H10">
        <v>3</v>
      </c>
      <c r="I10">
        <v>1.1000000000000001</v>
      </c>
    </row>
    <row r="11" spans="1:44" x14ac:dyDescent="0.25">
      <c r="A11" t="s">
        <v>51</v>
      </c>
      <c r="B11" s="13" t="s">
        <v>51</v>
      </c>
      <c r="C11">
        <v>21</v>
      </c>
      <c r="D11" t="s">
        <v>51</v>
      </c>
      <c r="E11">
        <v>60.14</v>
      </c>
      <c r="F11">
        <v>16.198</v>
      </c>
      <c r="G11" t="s">
        <v>349</v>
      </c>
      <c r="H11">
        <v>2</v>
      </c>
      <c r="I11">
        <v>1.1000000000000001</v>
      </c>
    </row>
    <row r="12" spans="1:44" x14ac:dyDescent="0.25">
      <c r="A12" t="s">
        <v>53</v>
      </c>
      <c r="B12" s="13" t="s">
        <v>53</v>
      </c>
      <c r="C12">
        <v>23</v>
      </c>
      <c r="D12" t="s">
        <v>53</v>
      </c>
      <c r="E12">
        <v>59.031999999999996</v>
      </c>
      <c r="F12">
        <v>12.222</v>
      </c>
      <c r="G12" t="s">
        <v>342</v>
      </c>
      <c r="H12">
        <v>3</v>
      </c>
      <c r="I12">
        <v>1</v>
      </c>
    </row>
    <row r="13" spans="1:44" x14ac:dyDescent="0.25">
      <c r="A13" t="s">
        <v>54</v>
      </c>
      <c r="B13" s="13" t="s">
        <v>54</v>
      </c>
      <c r="C13">
        <v>24</v>
      </c>
      <c r="D13" t="s">
        <v>54</v>
      </c>
      <c r="E13">
        <v>63.93</v>
      </c>
      <c r="F13">
        <v>19.222999999999999</v>
      </c>
      <c r="G13" t="s">
        <v>350</v>
      </c>
      <c r="H13">
        <v>1</v>
      </c>
      <c r="I13">
        <v>1.4</v>
      </c>
    </row>
    <row r="14" spans="1:44" x14ac:dyDescent="0.25">
      <c r="A14" t="s">
        <v>55</v>
      </c>
      <c r="B14" s="13" t="s">
        <v>55</v>
      </c>
      <c r="C14">
        <v>25</v>
      </c>
      <c r="D14" t="s">
        <v>55</v>
      </c>
      <c r="E14">
        <v>56.076000000000001</v>
      </c>
      <c r="F14">
        <v>12.938000000000001</v>
      </c>
      <c r="G14" t="s">
        <v>351</v>
      </c>
      <c r="H14">
        <v>4</v>
      </c>
      <c r="I14">
        <v>0.9</v>
      </c>
    </row>
    <row r="15" spans="1:44" x14ac:dyDescent="0.25">
      <c r="A15" t="s">
        <v>56</v>
      </c>
      <c r="B15" s="13" t="s">
        <v>56</v>
      </c>
      <c r="C15">
        <v>26</v>
      </c>
      <c r="D15" t="s">
        <v>56</v>
      </c>
      <c r="E15">
        <v>65.819999999999993</v>
      </c>
      <c r="F15">
        <v>21.698</v>
      </c>
      <c r="G15" t="s">
        <v>340</v>
      </c>
      <c r="H15">
        <v>1</v>
      </c>
      <c r="I15">
        <v>1.5</v>
      </c>
    </row>
    <row r="16" spans="1:44" x14ac:dyDescent="0.25">
      <c r="A16" t="s">
        <v>57</v>
      </c>
      <c r="B16" s="13" t="s">
        <v>57</v>
      </c>
      <c r="C16">
        <v>27</v>
      </c>
      <c r="D16" t="s">
        <v>57</v>
      </c>
      <c r="E16">
        <v>57.667000000000002</v>
      </c>
      <c r="F16">
        <v>12.567</v>
      </c>
      <c r="G16" t="s">
        <v>342</v>
      </c>
      <c r="H16">
        <v>3</v>
      </c>
      <c r="I16">
        <v>1</v>
      </c>
    </row>
    <row r="17" spans="1:9" x14ac:dyDescent="0.25">
      <c r="A17" t="s">
        <v>1524</v>
      </c>
      <c r="B17" s="13" t="s">
        <v>58</v>
      </c>
      <c r="C17">
        <v>28</v>
      </c>
      <c r="D17" t="s">
        <v>58</v>
      </c>
      <c r="E17">
        <v>61.348999999999997</v>
      </c>
      <c r="F17">
        <v>16.393000000000001</v>
      </c>
      <c r="G17" t="s">
        <v>352</v>
      </c>
      <c r="H17">
        <v>2</v>
      </c>
      <c r="I17">
        <v>1.2</v>
      </c>
    </row>
    <row r="18" spans="1:9" x14ac:dyDescent="0.25">
      <c r="A18" t="s">
        <v>60</v>
      </c>
      <c r="B18" s="13" t="s">
        <v>60</v>
      </c>
      <c r="C18">
        <v>30</v>
      </c>
      <c r="D18" t="s">
        <v>60</v>
      </c>
      <c r="E18">
        <v>56.88</v>
      </c>
      <c r="F18">
        <v>16.66</v>
      </c>
      <c r="G18" t="s">
        <v>354</v>
      </c>
      <c r="H18">
        <v>4</v>
      </c>
      <c r="I18">
        <v>0.9</v>
      </c>
    </row>
    <row r="19" spans="1:9" x14ac:dyDescent="0.25">
      <c r="A19" t="s">
        <v>1525</v>
      </c>
      <c r="B19" s="13" t="s">
        <v>61</v>
      </c>
      <c r="C19">
        <v>31</v>
      </c>
      <c r="D19" t="s">
        <v>61</v>
      </c>
      <c r="E19">
        <v>60.473999999999997</v>
      </c>
      <c r="F19">
        <v>15.46</v>
      </c>
      <c r="G19" t="s">
        <v>349</v>
      </c>
      <c r="H19">
        <v>2</v>
      </c>
      <c r="I19">
        <v>1.2</v>
      </c>
    </row>
    <row r="20" spans="1:9" x14ac:dyDescent="0.25">
      <c r="A20" t="s">
        <v>1503</v>
      </c>
      <c r="B20" s="13" t="s">
        <v>59</v>
      </c>
      <c r="C20">
        <v>29</v>
      </c>
      <c r="D20" t="s">
        <v>59</v>
      </c>
      <c r="E20">
        <v>57.731000000000002</v>
      </c>
      <c r="F20">
        <v>12.946</v>
      </c>
      <c r="G20" t="s">
        <v>342</v>
      </c>
      <c r="H20">
        <v>3</v>
      </c>
      <c r="I20">
        <v>1</v>
      </c>
    </row>
    <row r="21" spans="1:9" x14ac:dyDescent="0.25">
      <c r="A21" t="s">
        <v>355</v>
      </c>
      <c r="B21" s="13" t="s">
        <v>355</v>
      </c>
      <c r="C21">
        <v>32</v>
      </c>
      <c r="D21" t="s">
        <v>355</v>
      </c>
      <c r="E21">
        <v>59.179000000000002</v>
      </c>
      <c r="F21">
        <v>17.913</v>
      </c>
      <c r="G21" t="s">
        <v>341</v>
      </c>
      <c r="H21">
        <v>3</v>
      </c>
      <c r="I21">
        <v>1</v>
      </c>
    </row>
    <row r="22" spans="1:9" x14ac:dyDescent="0.25">
      <c r="A22" t="s">
        <v>64</v>
      </c>
      <c r="B22" s="13" t="s">
        <v>64</v>
      </c>
      <c r="C22">
        <v>34</v>
      </c>
      <c r="D22" t="s">
        <v>64</v>
      </c>
      <c r="E22" s="12"/>
      <c r="F22" s="12"/>
      <c r="G22" s="12" t="s">
        <v>351</v>
      </c>
      <c r="H22" s="12">
        <v>4</v>
      </c>
      <c r="I22" s="12">
        <v>0.9</v>
      </c>
    </row>
    <row r="23" spans="1:9" x14ac:dyDescent="0.25">
      <c r="A23" t="s">
        <v>1562</v>
      </c>
      <c r="B23" s="13" t="s">
        <v>65</v>
      </c>
      <c r="C23">
        <v>35</v>
      </c>
      <c r="D23" t="s">
        <v>65</v>
      </c>
      <c r="E23">
        <v>56.079000000000001</v>
      </c>
      <c r="F23">
        <v>14.473000000000001</v>
      </c>
      <c r="G23" t="s">
        <v>351</v>
      </c>
      <c r="H23">
        <v>4</v>
      </c>
      <c r="I23">
        <v>0.9</v>
      </c>
    </row>
    <row r="24" spans="1:9" x14ac:dyDescent="0.25">
      <c r="A24" t="s">
        <v>1526</v>
      </c>
      <c r="B24" s="13" t="s">
        <v>63</v>
      </c>
      <c r="C24">
        <v>33</v>
      </c>
      <c r="D24" t="s">
        <v>63</v>
      </c>
      <c r="E24">
        <v>62.749000000000002</v>
      </c>
      <c r="F24">
        <v>15.423999999999999</v>
      </c>
      <c r="G24" t="s">
        <v>357</v>
      </c>
      <c r="H24">
        <v>1</v>
      </c>
      <c r="I24">
        <v>1.4</v>
      </c>
    </row>
    <row r="25" spans="1:9" x14ac:dyDescent="0.25">
      <c r="A25" t="s">
        <v>1563</v>
      </c>
      <c r="B25" s="13" t="s">
        <v>358</v>
      </c>
      <c r="C25">
        <v>36</v>
      </c>
      <c r="D25" t="s">
        <v>358</v>
      </c>
      <c r="E25">
        <v>55.633000000000003</v>
      </c>
      <c r="F25">
        <v>13.083</v>
      </c>
      <c r="G25" t="s">
        <v>351</v>
      </c>
      <c r="H25">
        <v>4</v>
      </c>
      <c r="I25">
        <v>0.9</v>
      </c>
    </row>
    <row r="26" spans="1:9" x14ac:dyDescent="0.25">
      <c r="A26" t="s">
        <v>1502</v>
      </c>
      <c r="B26" s="13" t="s">
        <v>52</v>
      </c>
      <c r="C26">
        <v>22</v>
      </c>
      <c r="D26" t="s">
        <v>52</v>
      </c>
      <c r="E26">
        <v>56.424999999999997</v>
      </c>
      <c r="F26">
        <v>12.852</v>
      </c>
      <c r="G26" t="s">
        <v>351</v>
      </c>
      <c r="H26">
        <v>4</v>
      </c>
      <c r="I26">
        <v>0.9</v>
      </c>
    </row>
    <row r="27" spans="1:9" x14ac:dyDescent="0.25">
      <c r="A27" t="s">
        <v>67</v>
      </c>
      <c r="B27" s="13" t="s">
        <v>67</v>
      </c>
      <c r="C27">
        <v>37</v>
      </c>
      <c r="D27" t="s">
        <v>67</v>
      </c>
      <c r="E27" s="12"/>
      <c r="F27" s="12"/>
      <c r="G27" s="12" t="s">
        <v>346</v>
      </c>
      <c r="H27" s="12">
        <v>3</v>
      </c>
      <c r="I27" s="12">
        <v>1.1000000000000001</v>
      </c>
    </row>
    <row r="28" spans="1:9" x14ac:dyDescent="0.25">
      <c r="A28" s="13" t="s">
        <v>1625</v>
      </c>
      <c r="B28" s="14" t="s">
        <v>1625</v>
      </c>
      <c r="C28">
        <v>43</v>
      </c>
      <c r="D28" s="13" t="s">
        <v>1625</v>
      </c>
      <c r="E28">
        <v>58.908000000000001</v>
      </c>
      <c r="F28">
        <v>11.94</v>
      </c>
      <c r="G28" t="s">
        <v>342</v>
      </c>
      <c r="H28">
        <v>3</v>
      </c>
      <c r="I28">
        <v>1</v>
      </c>
    </row>
    <row r="29" spans="1:9" x14ac:dyDescent="0.25">
      <c r="A29" t="s">
        <v>68</v>
      </c>
      <c r="B29" s="13" t="s">
        <v>68</v>
      </c>
      <c r="C29">
        <v>38</v>
      </c>
      <c r="D29" t="s">
        <v>68</v>
      </c>
      <c r="E29">
        <v>59.396999999999998</v>
      </c>
      <c r="F29">
        <v>18.082000000000001</v>
      </c>
      <c r="G29" t="s">
        <v>341</v>
      </c>
      <c r="H29">
        <v>3</v>
      </c>
      <c r="I29">
        <v>1</v>
      </c>
    </row>
    <row r="30" spans="1:9" x14ac:dyDescent="0.25">
      <c r="A30" t="s">
        <v>69</v>
      </c>
      <c r="B30" s="13" t="s">
        <v>69</v>
      </c>
      <c r="C30">
        <v>39</v>
      </c>
      <c r="D30" t="s">
        <v>69</v>
      </c>
      <c r="E30">
        <v>59.232999999999997</v>
      </c>
      <c r="F30">
        <v>14.433</v>
      </c>
      <c r="G30" t="s">
        <v>348</v>
      </c>
      <c r="H30">
        <v>3</v>
      </c>
      <c r="I30">
        <v>1.1000000000000001</v>
      </c>
    </row>
    <row r="31" spans="1:9" x14ac:dyDescent="0.25">
      <c r="A31" s="13" t="s">
        <v>360</v>
      </c>
      <c r="B31" s="13" t="s">
        <v>360</v>
      </c>
      <c r="C31">
        <v>40</v>
      </c>
      <c r="D31" s="13" t="s">
        <v>360</v>
      </c>
      <c r="G31" t="s">
        <v>352</v>
      </c>
      <c r="H31">
        <v>2</v>
      </c>
      <c r="I31" s="12">
        <v>1.2</v>
      </c>
    </row>
    <row r="32" spans="1:9" x14ac:dyDescent="0.25">
      <c r="A32" t="s">
        <v>71</v>
      </c>
      <c r="B32" s="13" t="s">
        <v>71</v>
      </c>
      <c r="C32">
        <v>41</v>
      </c>
      <c r="D32" t="s">
        <v>71</v>
      </c>
      <c r="E32">
        <v>64.262</v>
      </c>
      <c r="F32">
        <v>16.417999999999999</v>
      </c>
      <c r="G32" t="s">
        <v>350</v>
      </c>
      <c r="H32">
        <v>1</v>
      </c>
      <c r="I32">
        <v>1.5</v>
      </c>
    </row>
    <row r="33" spans="1:9" x14ac:dyDescent="0.25">
      <c r="A33" s="13" t="s">
        <v>72</v>
      </c>
      <c r="B33" s="13" t="s">
        <v>72</v>
      </c>
      <c r="C33">
        <v>42</v>
      </c>
      <c r="D33" s="13" t="s">
        <v>72</v>
      </c>
      <c r="G33" s="12" t="s">
        <v>352</v>
      </c>
      <c r="H33" s="12">
        <v>2</v>
      </c>
      <c r="I33" s="12">
        <v>1.3</v>
      </c>
    </row>
    <row r="34" spans="1:9" x14ac:dyDescent="0.25">
      <c r="A34" t="s">
        <v>1564</v>
      </c>
      <c r="B34" s="13" t="s">
        <v>74</v>
      </c>
      <c r="C34">
        <v>44</v>
      </c>
      <c r="D34" t="s">
        <v>74</v>
      </c>
      <c r="E34">
        <v>57.667000000000002</v>
      </c>
      <c r="F34">
        <v>14.974</v>
      </c>
      <c r="G34" t="s">
        <v>345</v>
      </c>
      <c r="H34">
        <v>3</v>
      </c>
      <c r="I34">
        <v>1.1000000000000001</v>
      </c>
    </row>
    <row r="35" spans="1:9" x14ac:dyDescent="0.25">
      <c r="A35" t="s">
        <v>75</v>
      </c>
      <c r="B35" s="13" t="s">
        <v>75</v>
      </c>
      <c r="C35">
        <v>45</v>
      </c>
      <c r="D35" t="s">
        <v>75</v>
      </c>
      <c r="E35">
        <v>56.63</v>
      </c>
      <c r="F35">
        <v>15.538</v>
      </c>
      <c r="G35" t="s">
        <v>354</v>
      </c>
      <c r="H35">
        <v>4</v>
      </c>
      <c r="I35">
        <v>0.9</v>
      </c>
    </row>
    <row r="36" spans="1:9" x14ac:dyDescent="0.25">
      <c r="A36" t="s">
        <v>1565</v>
      </c>
      <c r="B36" s="13" t="s">
        <v>76</v>
      </c>
      <c r="C36">
        <v>46</v>
      </c>
      <c r="D36" t="s">
        <v>76</v>
      </c>
      <c r="E36">
        <v>59.64</v>
      </c>
      <c r="F36">
        <v>17.09</v>
      </c>
      <c r="G36" t="s">
        <v>361</v>
      </c>
      <c r="H36">
        <v>3</v>
      </c>
      <c r="I36">
        <v>1</v>
      </c>
    </row>
    <row r="37" spans="1:9" x14ac:dyDescent="0.25">
      <c r="A37" t="s">
        <v>77</v>
      </c>
      <c r="B37" s="13" t="s">
        <v>77</v>
      </c>
      <c r="C37">
        <v>47</v>
      </c>
      <c r="D37" t="s">
        <v>77</v>
      </c>
      <c r="E37">
        <v>59.37</v>
      </c>
      <c r="F37">
        <v>16.498999999999999</v>
      </c>
      <c r="G37" t="s">
        <v>364</v>
      </c>
      <c r="H37">
        <v>3</v>
      </c>
      <c r="I37">
        <v>1</v>
      </c>
    </row>
    <row r="38" spans="1:9" x14ac:dyDescent="0.25">
      <c r="A38" t="s">
        <v>1566</v>
      </c>
      <c r="B38" s="13" t="s">
        <v>78</v>
      </c>
      <c r="C38">
        <v>48</v>
      </c>
      <c r="D38" t="s">
        <v>78</v>
      </c>
      <c r="E38">
        <v>55.837000000000003</v>
      </c>
      <c r="F38">
        <v>13.305999999999999</v>
      </c>
      <c r="G38" t="s">
        <v>351</v>
      </c>
      <c r="H38">
        <v>4</v>
      </c>
      <c r="I38">
        <v>0.9</v>
      </c>
    </row>
    <row r="39" spans="1:9" x14ac:dyDescent="0.25">
      <c r="A39" t="s">
        <v>79</v>
      </c>
      <c r="B39" s="13" t="s">
        <v>79</v>
      </c>
      <c r="C39">
        <v>49</v>
      </c>
      <c r="D39" t="s">
        <v>79</v>
      </c>
      <c r="E39">
        <v>58.189</v>
      </c>
      <c r="F39">
        <v>12.718999999999999</v>
      </c>
      <c r="G39" t="s">
        <v>342</v>
      </c>
      <c r="H39">
        <v>3</v>
      </c>
      <c r="I39">
        <v>1</v>
      </c>
    </row>
    <row r="40" spans="1:9" x14ac:dyDescent="0.25">
      <c r="A40" t="s">
        <v>80</v>
      </c>
      <c r="B40" s="13" t="s">
        <v>80</v>
      </c>
      <c r="C40">
        <v>50</v>
      </c>
      <c r="D40" t="s">
        <v>80</v>
      </c>
      <c r="E40">
        <v>59.997</v>
      </c>
      <c r="F40">
        <v>15.808999999999999</v>
      </c>
      <c r="G40" t="s">
        <v>346</v>
      </c>
      <c r="H40">
        <v>3</v>
      </c>
      <c r="I40">
        <v>1.1000000000000001</v>
      </c>
    </row>
    <row r="41" spans="1:9" x14ac:dyDescent="0.25">
      <c r="A41" s="13" t="s">
        <v>81</v>
      </c>
      <c r="B41" s="13" t="s">
        <v>81</v>
      </c>
      <c r="C41">
        <v>51</v>
      </c>
      <c r="D41" s="13" t="s">
        <v>81</v>
      </c>
      <c r="G41" s="12" t="s">
        <v>365</v>
      </c>
      <c r="H41">
        <v>4</v>
      </c>
      <c r="I41" s="12">
        <v>0.9</v>
      </c>
    </row>
    <row r="42" spans="1:9" x14ac:dyDescent="0.25">
      <c r="A42" t="s">
        <v>1567</v>
      </c>
      <c r="B42" s="13" t="s">
        <v>82</v>
      </c>
      <c r="C42">
        <v>52</v>
      </c>
      <c r="D42" t="s">
        <v>82</v>
      </c>
      <c r="E42">
        <v>58.173000000000002</v>
      </c>
      <c r="F42">
        <v>13.554</v>
      </c>
      <c r="G42" t="s">
        <v>342</v>
      </c>
      <c r="H42">
        <v>3</v>
      </c>
      <c r="I42">
        <v>1</v>
      </c>
    </row>
    <row r="43" spans="1:9" x14ac:dyDescent="0.25">
      <c r="A43" t="s">
        <v>83</v>
      </c>
      <c r="B43" s="13" t="s">
        <v>83</v>
      </c>
      <c r="C43">
        <v>53</v>
      </c>
      <c r="D43" t="s">
        <v>83</v>
      </c>
      <c r="G43" s="12" t="s">
        <v>351</v>
      </c>
      <c r="H43" s="12">
        <v>4</v>
      </c>
      <c r="I43" s="12">
        <v>0.8</v>
      </c>
    </row>
    <row r="44" spans="1:9" x14ac:dyDescent="0.25">
      <c r="A44" t="s">
        <v>84</v>
      </c>
      <c r="B44" s="13" t="s">
        <v>84</v>
      </c>
      <c r="C44">
        <v>54</v>
      </c>
      <c r="D44" t="s">
        <v>84</v>
      </c>
      <c r="E44">
        <v>60.597999999999999</v>
      </c>
      <c r="F44">
        <v>15.67</v>
      </c>
      <c r="G44" t="s">
        <v>349</v>
      </c>
      <c r="H44">
        <v>2</v>
      </c>
      <c r="I44">
        <v>1.2</v>
      </c>
    </row>
    <row r="45" spans="1:9" x14ac:dyDescent="0.25">
      <c r="A45" t="s">
        <v>86</v>
      </c>
      <c r="B45" s="13" t="s">
        <v>86</v>
      </c>
      <c r="C45">
        <v>56</v>
      </c>
      <c r="D45" t="s">
        <v>86</v>
      </c>
      <c r="E45">
        <v>59.710999999999999</v>
      </c>
      <c r="F45">
        <v>14.17</v>
      </c>
      <c r="G45" t="s">
        <v>347</v>
      </c>
      <c r="H45">
        <v>2</v>
      </c>
      <c r="I45">
        <v>1.1000000000000001</v>
      </c>
    </row>
    <row r="46" spans="1:9" x14ac:dyDescent="0.25">
      <c r="A46" t="s">
        <v>87</v>
      </c>
      <c r="B46" s="13" t="s">
        <v>87</v>
      </c>
      <c r="C46">
        <v>57</v>
      </c>
      <c r="D46" t="s">
        <v>87</v>
      </c>
      <c r="E46">
        <v>60.235999999999997</v>
      </c>
      <c r="F46">
        <v>17.907</v>
      </c>
      <c r="G46" t="s">
        <v>361</v>
      </c>
      <c r="H46">
        <v>3</v>
      </c>
      <c r="I46">
        <v>1</v>
      </c>
    </row>
    <row r="47" spans="1:9" x14ac:dyDescent="0.25">
      <c r="A47" t="s">
        <v>1504</v>
      </c>
      <c r="B47" s="13" t="s">
        <v>88</v>
      </c>
      <c r="C47">
        <v>58</v>
      </c>
      <c r="D47" t="s">
        <v>88</v>
      </c>
      <c r="E47">
        <v>58.704999999999998</v>
      </c>
      <c r="F47">
        <v>15.773</v>
      </c>
      <c r="G47" t="s">
        <v>368</v>
      </c>
      <c r="H47">
        <v>3</v>
      </c>
      <c r="I47">
        <v>1</v>
      </c>
    </row>
    <row r="48" spans="1:9" x14ac:dyDescent="0.25">
      <c r="A48" t="s">
        <v>89</v>
      </c>
      <c r="B48" s="13" t="s">
        <v>89</v>
      </c>
      <c r="C48">
        <v>59</v>
      </c>
      <c r="D48" t="s">
        <v>89</v>
      </c>
      <c r="E48">
        <v>59.057000000000002</v>
      </c>
      <c r="F48">
        <v>16.596</v>
      </c>
      <c r="G48" t="s">
        <v>364</v>
      </c>
      <c r="H48">
        <v>3</v>
      </c>
      <c r="I48">
        <v>1</v>
      </c>
    </row>
    <row r="49" spans="1:9" x14ac:dyDescent="0.25">
      <c r="A49" t="s">
        <v>91</v>
      </c>
      <c r="B49" s="13" t="s">
        <v>91</v>
      </c>
      <c r="C49">
        <v>61</v>
      </c>
      <c r="D49" t="s">
        <v>91</v>
      </c>
      <c r="E49">
        <v>59.533000000000001</v>
      </c>
      <c r="F49">
        <v>13.467000000000001</v>
      </c>
      <c r="G49" t="s">
        <v>347</v>
      </c>
      <c r="H49">
        <v>2</v>
      </c>
      <c r="I49">
        <v>1.1000000000000001</v>
      </c>
    </row>
    <row r="50" spans="1:9" x14ac:dyDescent="0.25">
      <c r="A50" t="s">
        <v>92</v>
      </c>
      <c r="B50" s="13" t="s">
        <v>92</v>
      </c>
      <c r="C50">
        <v>62</v>
      </c>
      <c r="D50" t="s">
        <v>92</v>
      </c>
      <c r="G50" s="12" t="s">
        <v>350</v>
      </c>
      <c r="H50">
        <v>1</v>
      </c>
      <c r="I50" s="12">
        <v>1.5</v>
      </c>
    </row>
    <row r="51" spans="1:9" x14ac:dyDescent="0.25">
      <c r="A51" t="s">
        <v>1527</v>
      </c>
      <c r="B51" s="13" t="s">
        <v>85</v>
      </c>
      <c r="C51">
        <v>55</v>
      </c>
      <c r="D51" t="s">
        <v>85</v>
      </c>
      <c r="E51">
        <v>58.570999999999998</v>
      </c>
      <c r="F51">
        <v>11.994</v>
      </c>
      <c r="G51" t="s">
        <v>342</v>
      </c>
      <c r="H51">
        <v>3</v>
      </c>
      <c r="I51">
        <v>1</v>
      </c>
    </row>
    <row r="52" spans="1:9" x14ac:dyDescent="0.25">
      <c r="A52" s="13" t="s">
        <v>1568</v>
      </c>
      <c r="B52" s="13" t="s">
        <v>370</v>
      </c>
      <c r="C52">
        <v>60</v>
      </c>
      <c r="D52" s="13" t="s">
        <v>370</v>
      </c>
      <c r="G52" s="12" t="s">
        <v>357</v>
      </c>
      <c r="H52">
        <v>1</v>
      </c>
      <c r="I52" s="12">
        <v>1.5</v>
      </c>
    </row>
    <row r="53" spans="1:9" x14ac:dyDescent="0.25">
      <c r="A53" t="s">
        <v>94</v>
      </c>
      <c r="B53" s="13" t="s">
        <v>94</v>
      </c>
      <c r="C53">
        <v>64</v>
      </c>
      <c r="D53" t="s">
        <v>94</v>
      </c>
      <c r="E53">
        <v>60.55</v>
      </c>
      <c r="F53">
        <v>15.132999999999999</v>
      </c>
      <c r="G53" t="s">
        <v>349</v>
      </c>
      <c r="H53">
        <v>2</v>
      </c>
      <c r="I53">
        <v>1.2</v>
      </c>
    </row>
    <row r="54" spans="1:9" x14ac:dyDescent="0.25">
      <c r="A54" t="s">
        <v>97</v>
      </c>
      <c r="B54" s="13" t="s">
        <v>97</v>
      </c>
      <c r="C54">
        <v>67</v>
      </c>
      <c r="D54" t="s">
        <v>97</v>
      </c>
      <c r="E54">
        <v>57.298000000000002</v>
      </c>
      <c r="F54">
        <v>13.552</v>
      </c>
      <c r="G54" t="s">
        <v>345</v>
      </c>
      <c r="H54">
        <v>3</v>
      </c>
      <c r="I54">
        <v>1</v>
      </c>
    </row>
    <row r="55" spans="1:9" x14ac:dyDescent="0.25">
      <c r="A55" t="s">
        <v>98</v>
      </c>
      <c r="B55" s="13" t="s">
        <v>98</v>
      </c>
      <c r="C55">
        <v>68</v>
      </c>
      <c r="D55" t="s">
        <v>98</v>
      </c>
      <c r="E55">
        <v>59.042999999999999</v>
      </c>
      <c r="F55">
        <v>17.312999999999999</v>
      </c>
      <c r="G55" t="s">
        <v>364</v>
      </c>
      <c r="H55">
        <v>3</v>
      </c>
      <c r="I55">
        <v>1</v>
      </c>
    </row>
    <row r="56" spans="1:9" x14ac:dyDescent="0.25">
      <c r="A56" t="s">
        <v>1531</v>
      </c>
      <c r="B56" s="13" t="s">
        <v>101</v>
      </c>
      <c r="C56">
        <v>71</v>
      </c>
      <c r="D56" t="s">
        <v>101</v>
      </c>
      <c r="E56">
        <v>58.332999999999998</v>
      </c>
      <c r="F56">
        <v>12.667</v>
      </c>
      <c r="G56" t="s">
        <v>342</v>
      </c>
      <c r="H56">
        <v>3</v>
      </c>
      <c r="I56">
        <v>1</v>
      </c>
    </row>
    <row r="57" spans="1:9" x14ac:dyDescent="0.25">
      <c r="A57" s="13" t="s">
        <v>1528</v>
      </c>
      <c r="B57" s="13" t="s">
        <v>93</v>
      </c>
      <c r="C57">
        <v>63</v>
      </c>
      <c r="D57" s="13" t="s">
        <v>93</v>
      </c>
      <c r="G57" s="12" t="s">
        <v>357</v>
      </c>
      <c r="H57">
        <v>1</v>
      </c>
      <c r="I57" s="12">
        <v>1.5</v>
      </c>
    </row>
    <row r="58" spans="1:9" x14ac:dyDescent="0.25">
      <c r="A58" t="s">
        <v>1529</v>
      </c>
      <c r="B58" s="13" t="s">
        <v>95</v>
      </c>
      <c r="C58">
        <v>65</v>
      </c>
      <c r="D58" t="s">
        <v>95</v>
      </c>
      <c r="E58">
        <v>67.14</v>
      </c>
      <c r="F58">
        <v>20.663</v>
      </c>
      <c r="G58" t="s">
        <v>340</v>
      </c>
      <c r="H58">
        <v>1</v>
      </c>
      <c r="I58">
        <v>1.9</v>
      </c>
    </row>
    <row r="59" spans="1:9" x14ac:dyDescent="0.25">
      <c r="A59" t="s">
        <v>1530</v>
      </c>
      <c r="B59" s="13" t="s">
        <v>96</v>
      </c>
      <c r="C59">
        <v>66</v>
      </c>
      <c r="D59" t="s">
        <v>96</v>
      </c>
      <c r="E59">
        <v>60.679000000000002</v>
      </c>
      <c r="F59">
        <v>17.183</v>
      </c>
      <c r="G59" t="s">
        <v>352</v>
      </c>
      <c r="H59">
        <v>2</v>
      </c>
      <c r="I59">
        <v>1.1000000000000001</v>
      </c>
    </row>
    <row r="60" spans="1:9" x14ac:dyDescent="0.25">
      <c r="A60" t="s">
        <v>1569</v>
      </c>
      <c r="B60" s="13" t="s">
        <v>99</v>
      </c>
      <c r="C60">
        <v>69</v>
      </c>
      <c r="D60" t="s">
        <v>99</v>
      </c>
      <c r="E60">
        <v>57.671999999999997</v>
      </c>
      <c r="F60">
        <v>11.958</v>
      </c>
      <c r="G60" t="s">
        <v>342</v>
      </c>
      <c r="H60">
        <v>4</v>
      </c>
      <c r="I60">
        <v>0.9</v>
      </c>
    </row>
    <row r="61" spans="1:9" x14ac:dyDescent="0.25">
      <c r="A61" t="s">
        <v>1570</v>
      </c>
      <c r="B61" s="13" t="s">
        <v>100</v>
      </c>
      <c r="C61">
        <v>70</v>
      </c>
      <c r="D61" t="s">
        <v>100</v>
      </c>
      <c r="E61">
        <v>58.524999999999999</v>
      </c>
      <c r="F61">
        <v>13.491</v>
      </c>
      <c r="G61" t="s">
        <v>342</v>
      </c>
      <c r="H61">
        <v>3</v>
      </c>
      <c r="I61">
        <v>1</v>
      </c>
    </row>
    <row r="62" spans="1:9" x14ac:dyDescent="0.25">
      <c r="A62" t="s">
        <v>102</v>
      </c>
      <c r="B62" s="13" t="s">
        <v>102</v>
      </c>
      <c r="C62">
        <v>72</v>
      </c>
      <c r="D62" t="s">
        <v>102</v>
      </c>
      <c r="E62">
        <v>57.908999999999999</v>
      </c>
      <c r="F62">
        <v>14.074999999999999</v>
      </c>
      <c r="G62" t="s">
        <v>345</v>
      </c>
      <c r="H62">
        <v>3</v>
      </c>
      <c r="I62">
        <v>1</v>
      </c>
    </row>
    <row r="63" spans="1:9" x14ac:dyDescent="0.25">
      <c r="A63" t="s">
        <v>103</v>
      </c>
      <c r="B63" s="13" t="s">
        <v>103</v>
      </c>
      <c r="C63">
        <v>73</v>
      </c>
      <c r="D63" t="s">
        <v>103</v>
      </c>
      <c r="E63">
        <v>60.033999999999999</v>
      </c>
      <c r="F63">
        <v>13.693</v>
      </c>
      <c r="G63" t="s">
        <v>347</v>
      </c>
      <c r="H63">
        <v>2</v>
      </c>
      <c r="I63">
        <v>1.2</v>
      </c>
    </row>
    <row r="64" spans="1:9" x14ac:dyDescent="0.25">
      <c r="A64" t="s">
        <v>105</v>
      </c>
      <c r="B64" s="13" t="s">
        <v>105</v>
      </c>
      <c r="C64">
        <v>75</v>
      </c>
      <c r="D64" t="s">
        <v>105</v>
      </c>
      <c r="E64">
        <v>59.067</v>
      </c>
      <c r="F64">
        <v>15.117000000000001</v>
      </c>
      <c r="G64" t="s">
        <v>348</v>
      </c>
      <c r="H64">
        <v>3</v>
      </c>
      <c r="I64">
        <v>1</v>
      </c>
    </row>
    <row r="65" spans="1:9" x14ac:dyDescent="0.25">
      <c r="A65" t="s">
        <v>106</v>
      </c>
      <c r="B65" s="13" t="s">
        <v>106</v>
      </c>
      <c r="C65">
        <v>76</v>
      </c>
      <c r="D65" t="s">
        <v>106</v>
      </c>
      <c r="E65">
        <v>59.613999999999997</v>
      </c>
      <c r="F65">
        <v>16.228999999999999</v>
      </c>
      <c r="G65" t="s">
        <v>346</v>
      </c>
      <c r="H65">
        <v>3</v>
      </c>
      <c r="I65">
        <v>1</v>
      </c>
    </row>
    <row r="66" spans="1:9" x14ac:dyDescent="0.25">
      <c r="A66" s="13" t="s">
        <v>107</v>
      </c>
      <c r="B66" s="13" t="s">
        <v>107</v>
      </c>
      <c r="C66">
        <v>77</v>
      </c>
      <c r="D66" s="13" t="s">
        <v>107</v>
      </c>
      <c r="G66" s="12" t="s">
        <v>365</v>
      </c>
      <c r="H66">
        <v>4</v>
      </c>
      <c r="I66" s="12">
        <v>0.9</v>
      </c>
    </row>
    <row r="67" spans="1:9" x14ac:dyDescent="0.25">
      <c r="A67" s="13" t="s">
        <v>109</v>
      </c>
      <c r="B67" s="13" t="s">
        <v>109</v>
      </c>
      <c r="C67">
        <v>79</v>
      </c>
      <c r="D67" s="13" t="s">
        <v>109</v>
      </c>
      <c r="G67" s="12" t="s">
        <v>357</v>
      </c>
      <c r="H67">
        <v>1</v>
      </c>
      <c r="I67" s="12">
        <v>1.4</v>
      </c>
    </row>
    <row r="68" spans="1:9" x14ac:dyDescent="0.25">
      <c r="A68" t="s">
        <v>1571</v>
      </c>
      <c r="B68" s="13" t="s">
        <v>108</v>
      </c>
      <c r="C68">
        <v>78</v>
      </c>
      <c r="D68" t="s">
        <v>108</v>
      </c>
      <c r="E68">
        <v>59.332999999999998</v>
      </c>
      <c r="F68">
        <v>13.433</v>
      </c>
      <c r="G68" t="s">
        <v>347</v>
      </c>
      <c r="H68">
        <v>2</v>
      </c>
      <c r="I68">
        <v>1.1000000000000001</v>
      </c>
    </row>
    <row r="69" spans="1:9" x14ac:dyDescent="0.25">
      <c r="A69" s="13" t="s">
        <v>110</v>
      </c>
      <c r="B69" s="13" t="s">
        <v>110</v>
      </c>
      <c r="C69">
        <v>80</v>
      </c>
      <c r="D69" s="13" t="s">
        <v>110</v>
      </c>
      <c r="G69" s="12" t="s">
        <v>341</v>
      </c>
      <c r="H69">
        <v>3</v>
      </c>
      <c r="I69" s="12">
        <v>1</v>
      </c>
    </row>
    <row r="70" spans="1:9" x14ac:dyDescent="0.25">
      <c r="A70" t="s">
        <v>111</v>
      </c>
      <c r="B70" s="13" t="s">
        <v>111</v>
      </c>
      <c r="C70">
        <v>81</v>
      </c>
      <c r="D70" t="s">
        <v>111</v>
      </c>
      <c r="E70">
        <v>65.832999999999998</v>
      </c>
      <c r="F70">
        <v>24.128</v>
      </c>
      <c r="G70" t="s">
        <v>340</v>
      </c>
      <c r="H70">
        <v>1</v>
      </c>
      <c r="I70">
        <v>1.5</v>
      </c>
    </row>
    <row r="71" spans="1:9" x14ac:dyDescent="0.25">
      <c r="A71" t="s">
        <v>116</v>
      </c>
      <c r="B71" s="13" t="s">
        <v>116</v>
      </c>
      <c r="C71">
        <v>86</v>
      </c>
      <c r="D71" t="s">
        <v>116</v>
      </c>
      <c r="E71">
        <v>62.42</v>
      </c>
      <c r="F71">
        <v>13.5</v>
      </c>
      <c r="G71" t="s">
        <v>357</v>
      </c>
      <c r="H71">
        <v>1</v>
      </c>
      <c r="I71">
        <v>1.1000000000000001</v>
      </c>
    </row>
    <row r="72" spans="1:9" x14ac:dyDescent="0.25">
      <c r="A72" t="s">
        <v>115</v>
      </c>
      <c r="B72" s="13" t="s">
        <v>115</v>
      </c>
      <c r="C72">
        <v>85</v>
      </c>
      <c r="D72" t="s">
        <v>115</v>
      </c>
      <c r="E72">
        <v>60.276000000000003</v>
      </c>
      <c r="F72">
        <v>15.987</v>
      </c>
      <c r="G72" t="s">
        <v>349</v>
      </c>
      <c r="H72">
        <v>2</v>
      </c>
      <c r="I72">
        <v>1.1000000000000001</v>
      </c>
    </row>
    <row r="73" spans="1:9" x14ac:dyDescent="0.25">
      <c r="A73" t="s">
        <v>117</v>
      </c>
      <c r="B73" s="13" t="s">
        <v>117</v>
      </c>
      <c r="C73">
        <v>87</v>
      </c>
      <c r="D73" t="s">
        <v>117</v>
      </c>
      <c r="E73">
        <v>56.033999999999999</v>
      </c>
      <c r="F73">
        <v>12.734</v>
      </c>
      <c r="G73" t="s">
        <v>351</v>
      </c>
      <c r="H73">
        <v>4</v>
      </c>
      <c r="I73">
        <v>0.9</v>
      </c>
    </row>
    <row r="74" spans="1:9" x14ac:dyDescent="0.25">
      <c r="A74" s="13" t="s">
        <v>118</v>
      </c>
      <c r="B74" s="13" t="s">
        <v>118</v>
      </c>
      <c r="C74">
        <v>88</v>
      </c>
      <c r="D74" s="13" t="s">
        <v>118</v>
      </c>
      <c r="G74" s="12" t="s">
        <v>350</v>
      </c>
      <c r="H74">
        <v>1</v>
      </c>
      <c r="I74" s="12">
        <v>1.8</v>
      </c>
    </row>
    <row r="75" spans="1:9" x14ac:dyDescent="0.25">
      <c r="A75" t="s">
        <v>119</v>
      </c>
      <c r="B75" s="13" t="s">
        <v>119</v>
      </c>
      <c r="C75">
        <v>89</v>
      </c>
      <c r="D75" t="s">
        <v>119</v>
      </c>
      <c r="E75">
        <v>57.24</v>
      </c>
      <c r="F75">
        <v>18.28</v>
      </c>
      <c r="G75" t="s">
        <v>375</v>
      </c>
      <c r="H75">
        <v>3</v>
      </c>
      <c r="I75">
        <v>0.9</v>
      </c>
    </row>
    <row r="76" spans="1:9" x14ac:dyDescent="0.25">
      <c r="A76" t="s">
        <v>120</v>
      </c>
      <c r="B76" s="13" t="s">
        <v>120</v>
      </c>
      <c r="C76">
        <v>90</v>
      </c>
      <c r="D76" t="s">
        <v>120</v>
      </c>
      <c r="E76">
        <v>58.079000000000001</v>
      </c>
      <c r="F76">
        <v>13.028</v>
      </c>
      <c r="G76" t="s">
        <v>342</v>
      </c>
      <c r="H76">
        <v>3</v>
      </c>
      <c r="I76">
        <v>1</v>
      </c>
    </row>
    <row r="77" spans="1:9" x14ac:dyDescent="0.25">
      <c r="A77" t="s">
        <v>121</v>
      </c>
      <c r="B77" s="13" t="s">
        <v>121</v>
      </c>
      <c r="C77">
        <v>91</v>
      </c>
      <c r="D77" t="s">
        <v>121</v>
      </c>
      <c r="E77">
        <v>58.304000000000002</v>
      </c>
      <c r="F77">
        <v>14.284000000000001</v>
      </c>
      <c r="G77" t="s">
        <v>342</v>
      </c>
      <c r="H77">
        <v>3</v>
      </c>
      <c r="I77">
        <v>1</v>
      </c>
    </row>
    <row r="78" spans="1:9" x14ac:dyDescent="0.25">
      <c r="A78" t="s">
        <v>122</v>
      </c>
      <c r="B78" s="13" t="s">
        <v>122</v>
      </c>
      <c r="C78">
        <v>92</v>
      </c>
      <c r="D78" t="s">
        <v>122</v>
      </c>
      <c r="E78">
        <v>60.551000000000002</v>
      </c>
      <c r="F78">
        <v>16.292000000000002</v>
      </c>
      <c r="G78" t="s">
        <v>352</v>
      </c>
      <c r="H78">
        <v>2</v>
      </c>
      <c r="I78">
        <v>1.2</v>
      </c>
    </row>
    <row r="79" spans="1:9" x14ac:dyDescent="0.25">
      <c r="A79" t="s">
        <v>127</v>
      </c>
      <c r="B79" s="13" t="s">
        <v>127</v>
      </c>
      <c r="C79">
        <v>97</v>
      </c>
      <c r="D79" t="s">
        <v>127</v>
      </c>
      <c r="E79">
        <v>58.853000000000002</v>
      </c>
      <c r="F79">
        <v>14.22</v>
      </c>
      <c r="G79" t="s">
        <v>342</v>
      </c>
      <c r="H79">
        <v>3</v>
      </c>
      <c r="I79">
        <v>1</v>
      </c>
    </row>
    <row r="80" spans="1:9" x14ac:dyDescent="0.25">
      <c r="A80" t="s">
        <v>128</v>
      </c>
      <c r="B80" s="13" t="s">
        <v>128</v>
      </c>
      <c r="C80">
        <v>98</v>
      </c>
      <c r="D80" t="s">
        <v>128</v>
      </c>
      <c r="E80">
        <v>59.21</v>
      </c>
      <c r="F80">
        <v>18.041</v>
      </c>
      <c r="G80" t="s">
        <v>341</v>
      </c>
      <c r="H80">
        <v>3</v>
      </c>
      <c r="I80">
        <v>1</v>
      </c>
    </row>
    <row r="81" spans="1:9" x14ac:dyDescent="0.25">
      <c r="A81" t="s">
        <v>129</v>
      </c>
      <c r="B81" s="13" t="s">
        <v>129</v>
      </c>
      <c r="C81">
        <v>99</v>
      </c>
      <c r="D81" t="s">
        <v>129</v>
      </c>
      <c r="E81">
        <v>61.728999999999999</v>
      </c>
      <c r="F81">
        <v>17.111000000000001</v>
      </c>
      <c r="G81" t="s">
        <v>352</v>
      </c>
      <c r="H81">
        <v>2</v>
      </c>
      <c r="I81">
        <v>1.2</v>
      </c>
    </row>
    <row r="82" spans="1:9" x14ac:dyDescent="0.25">
      <c r="A82" t="s">
        <v>130</v>
      </c>
      <c r="B82" s="13" t="s">
        <v>130</v>
      </c>
      <c r="C82">
        <v>100</v>
      </c>
      <c r="D82" t="s">
        <v>130</v>
      </c>
      <c r="E82">
        <v>57.497999999999998</v>
      </c>
      <c r="F82">
        <v>15.853999999999999</v>
      </c>
      <c r="G82" t="s">
        <v>354</v>
      </c>
      <c r="H82">
        <v>4</v>
      </c>
      <c r="I82">
        <v>1</v>
      </c>
    </row>
    <row r="83" spans="1:9" x14ac:dyDescent="0.25">
      <c r="A83" s="13" t="s">
        <v>131</v>
      </c>
      <c r="B83" s="13" t="s">
        <v>131</v>
      </c>
      <c r="C83">
        <v>101</v>
      </c>
      <c r="D83" s="13" t="s">
        <v>131</v>
      </c>
      <c r="G83" s="12" t="s">
        <v>365</v>
      </c>
      <c r="H83">
        <v>4</v>
      </c>
      <c r="I83" s="12">
        <v>1</v>
      </c>
    </row>
    <row r="84" spans="1:9" x14ac:dyDescent="0.25">
      <c r="A84" t="s">
        <v>1532</v>
      </c>
      <c r="B84" s="13" t="s">
        <v>104</v>
      </c>
      <c r="C84">
        <v>74</v>
      </c>
      <c r="D84" t="s">
        <v>104</v>
      </c>
      <c r="E84">
        <v>59.767000000000003</v>
      </c>
      <c r="F84">
        <v>14.516999999999999</v>
      </c>
      <c r="G84" t="s">
        <v>348</v>
      </c>
      <c r="H84">
        <v>3</v>
      </c>
      <c r="I84">
        <v>1.1000000000000001</v>
      </c>
    </row>
    <row r="85" spans="1:9" x14ac:dyDescent="0.25">
      <c r="A85" t="s">
        <v>1572</v>
      </c>
      <c r="B85" s="13" t="s">
        <v>378</v>
      </c>
      <c r="C85">
        <v>82</v>
      </c>
      <c r="D85" t="s">
        <v>378</v>
      </c>
      <c r="E85">
        <v>62.634</v>
      </c>
      <c r="F85">
        <v>17.931999999999999</v>
      </c>
      <c r="G85" t="s">
        <v>379</v>
      </c>
      <c r="H85">
        <v>2</v>
      </c>
      <c r="I85">
        <v>1.3</v>
      </c>
    </row>
    <row r="86" spans="1:9" x14ac:dyDescent="0.25">
      <c r="A86" t="s">
        <v>1533</v>
      </c>
      <c r="B86" s="13" t="s">
        <v>113</v>
      </c>
      <c r="C86">
        <v>83</v>
      </c>
      <c r="D86" t="s">
        <v>113</v>
      </c>
      <c r="E86">
        <v>57.667000000000002</v>
      </c>
      <c r="F86">
        <v>12.117000000000001</v>
      </c>
      <c r="G86" t="s">
        <v>342</v>
      </c>
      <c r="H86">
        <v>4</v>
      </c>
      <c r="I86">
        <v>0.9</v>
      </c>
    </row>
    <row r="87" spans="1:9" x14ac:dyDescent="0.25">
      <c r="A87" t="s">
        <v>1534</v>
      </c>
      <c r="B87" s="13" t="s">
        <v>114</v>
      </c>
      <c r="C87">
        <v>84</v>
      </c>
      <c r="D87" t="s">
        <v>114</v>
      </c>
      <c r="E87">
        <v>56.16</v>
      </c>
      <c r="F87">
        <v>13.781000000000001</v>
      </c>
      <c r="G87" t="s">
        <v>351</v>
      </c>
      <c r="H87">
        <v>4</v>
      </c>
      <c r="I87">
        <v>0.9</v>
      </c>
    </row>
    <row r="88" spans="1:9" x14ac:dyDescent="0.25">
      <c r="A88" t="s">
        <v>1573</v>
      </c>
      <c r="B88" s="13" t="s">
        <v>123</v>
      </c>
      <c r="C88">
        <v>93</v>
      </c>
      <c r="D88" t="s">
        <v>123</v>
      </c>
      <c r="E88">
        <v>56.213999999999999</v>
      </c>
      <c r="F88">
        <v>12.558</v>
      </c>
      <c r="G88" t="s">
        <v>351</v>
      </c>
      <c r="H88">
        <v>4</v>
      </c>
      <c r="I88">
        <v>0.8</v>
      </c>
    </row>
    <row r="89" spans="1:9" x14ac:dyDescent="0.25">
      <c r="A89" t="s">
        <v>1574</v>
      </c>
      <c r="B89" s="13" t="s">
        <v>380</v>
      </c>
      <c r="C89">
        <v>94</v>
      </c>
      <c r="D89" t="s">
        <v>380</v>
      </c>
      <c r="E89">
        <v>57.164999999999999</v>
      </c>
      <c r="F89">
        <v>16.027000000000001</v>
      </c>
      <c r="G89" t="s">
        <v>354</v>
      </c>
      <c r="H89">
        <v>4</v>
      </c>
      <c r="I89">
        <v>1</v>
      </c>
    </row>
    <row r="90" spans="1:9" x14ac:dyDescent="0.25">
      <c r="A90" t="s">
        <v>1576</v>
      </c>
      <c r="B90" s="13" t="s">
        <v>381</v>
      </c>
      <c r="C90">
        <v>96</v>
      </c>
      <c r="D90" t="s">
        <v>381</v>
      </c>
      <c r="E90">
        <v>55.863</v>
      </c>
      <c r="F90">
        <v>13.669</v>
      </c>
      <c r="G90" t="s">
        <v>351</v>
      </c>
      <c r="H90">
        <v>4</v>
      </c>
      <c r="I90">
        <v>0.9</v>
      </c>
    </row>
    <row r="91" spans="1:9" x14ac:dyDescent="0.25">
      <c r="A91" t="s">
        <v>1575</v>
      </c>
      <c r="B91" s="13" t="s">
        <v>125</v>
      </c>
      <c r="C91">
        <v>95</v>
      </c>
      <c r="D91" t="s">
        <v>125</v>
      </c>
      <c r="E91">
        <v>55.932000000000002</v>
      </c>
      <c r="F91">
        <v>13.55</v>
      </c>
      <c r="G91" t="s">
        <v>351</v>
      </c>
      <c r="H91">
        <v>4</v>
      </c>
      <c r="I91">
        <v>0.9</v>
      </c>
    </row>
    <row r="92" spans="1:9" x14ac:dyDescent="0.25">
      <c r="A92" s="13" t="s">
        <v>133</v>
      </c>
      <c r="B92" s="13" t="s">
        <v>133</v>
      </c>
      <c r="C92">
        <v>103</v>
      </c>
      <c r="D92" s="13" t="s">
        <v>133</v>
      </c>
      <c r="G92" s="12" t="s">
        <v>340</v>
      </c>
      <c r="H92">
        <v>1</v>
      </c>
      <c r="I92" s="12">
        <v>1.8</v>
      </c>
    </row>
    <row r="93" spans="1:9" x14ac:dyDescent="0.25">
      <c r="A93" s="13" t="s">
        <v>135</v>
      </c>
      <c r="B93" s="13" t="s">
        <v>135</v>
      </c>
      <c r="C93">
        <v>105</v>
      </c>
      <c r="D93" s="13" t="s">
        <v>135</v>
      </c>
      <c r="G93" s="12" t="s">
        <v>379</v>
      </c>
      <c r="H93">
        <v>2</v>
      </c>
      <c r="I93" s="12">
        <v>1.4</v>
      </c>
    </row>
    <row r="94" spans="1:9" x14ac:dyDescent="0.25">
      <c r="A94" t="s">
        <v>1535</v>
      </c>
      <c r="B94" s="13" t="s">
        <v>383</v>
      </c>
      <c r="C94">
        <v>102</v>
      </c>
      <c r="D94" t="s">
        <v>383</v>
      </c>
      <c r="E94">
        <v>59.405999999999999</v>
      </c>
      <c r="F94">
        <v>17.869</v>
      </c>
      <c r="G94" t="s">
        <v>341</v>
      </c>
      <c r="H94">
        <v>3</v>
      </c>
      <c r="I94">
        <v>1</v>
      </c>
    </row>
    <row r="95" spans="1:9" x14ac:dyDescent="0.25">
      <c r="A95" t="s">
        <v>1577</v>
      </c>
      <c r="B95" s="13" t="s">
        <v>384</v>
      </c>
      <c r="C95">
        <v>104</v>
      </c>
      <c r="D95" t="s">
        <v>384</v>
      </c>
      <c r="E95">
        <v>57.76</v>
      </c>
      <c r="F95">
        <v>14.191000000000001</v>
      </c>
      <c r="G95" t="s">
        <v>345</v>
      </c>
      <c r="H95">
        <v>3</v>
      </c>
      <c r="I95">
        <v>1</v>
      </c>
    </row>
    <row r="96" spans="1:9" x14ac:dyDescent="0.25">
      <c r="A96" t="s">
        <v>136</v>
      </c>
      <c r="B96" s="13" t="s">
        <v>136</v>
      </c>
      <c r="C96">
        <v>106</v>
      </c>
      <c r="D96" t="s">
        <v>136</v>
      </c>
      <c r="E96">
        <v>65.856999999999999</v>
      </c>
      <c r="F96">
        <v>23.158000000000001</v>
      </c>
      <c r="G96" t="s">
        <v>340</v>
      </c>
      <c r="H96">
        <v>1</v>
      </c>
      <c r="I96">
        <v>1.5</v>
      </c>
    </row>
    <row r="97" spans="1:9" x14ac:dyDescent="0.25">
      <c r="A97" t="s">
        <v>137</v>
      </c>
      <c r="B97" s="13" t="s">
        <v>137</v>
      </c>
      <c r="C97">
        <v>107</v>
      </c>
      <c r="D97" t="s">
        <v>137</v>
      </c>
      <c r="E97">
        <v>56.679000000000002</v>
      </c>
      <c r="F97">
        <v>16.353999999999999</v>
      </c>
      <c r="G97" t="s">
        <v>354</v>
      </c>
      <c r="H97">
        <v>4</v>
      </c>
      <c r="I97">
        <v>0.9</v>
      </c>
    </row>
    <row r="98" spans="1:9" x14ac:dyDescent="0.25">
      <c r="A98" s="13" t="s">
        <v>138</v>
      </c>
      <c r="B98" s="13" t="s">
        <v>138</v>
      </c>
      <c r="C98">
        <v>108</v>
      </c>
      <c r="D98" s="13" t="s">
        <v>138</v>
      </c>
      <c r="G98" s="12" t="s">
        <v>340</v>
      </c>
      <c r="H98" s="12">
        <v>1</v>
      </c>
      <c r="I98" s="12">
        <v>1.9</v>
      </c>
    </row>
    <row r="99" spans="1:9" x14ac:dyDescent="0.25">
      <c r="A99" t="s">
        <v>139</v>
      </c>
      <c r="B99" s="13" t="s">
        <v>139</v>
      </c>
      <c r="C99">
        <v>109</v>
      </c>
      <c r="D99" t="s">
        <v>139</v>
      </c>
      <c r="E99">
        <v>58.536999999999999</v>
      </c>
      <c r="F99">
        <v>14.51</v>
      </c>
      <c r="G99" t="s">
        <v>342</v>
      </c>
      <c r="H99">
        <v>3</v>
      </c>
      <c r="I99">
        <v>1</v>
      </c>
    </row>
    <row r="100" spans="1:9" x14ac:dyDescent="0.25">
      <c r="A100" t="s">
        <v>140</v>
      </c>
      <c r="B100" s="13" t="s">
        <v>140</v>
      </c>
      <c r="C100">
        <v>110</v>
      </c>
      <c r="D100" t="s">
        <v>140</v>
      </c>
      <c r="E100">
        <v>56.186</v>
      </c>
      <c r="F100">
        <v>14.853</v>
      </c>
      <c r="G100" t="s">
        <v>386</v>
      </c>
      <c r="H100">
        <v>4</v>
      </c>
      <c r="I100">
        <v>0.9</v>
      </c>
    </row>
    <row r="101" spans="1:9" x14ac:dyDescent="0.25">
      <c r="A101" t="s">
        <v>141</v>
      </c>
      <c r="B101" s="13" t="s">
        <v>141</v>
      </c>
      <c r="C101">
        <v>111</v>
      </c>
      <c r="D101" t="s">
        <v>141</v>
      </c>
      <c r="E101">
        <v>59.320999999999998</v>
      </c>
      <c r="F101">
        <v>14.534000000000001</v>
      </c>
      <c r="G101" t="s">
        <v>348</v>
      </c>
      <c r="H101">
        <v>3</v>
      </c>
      <c r="I101">
        <v>1.1000000000000001</v>
      </c>
    </row>
    <row r="102" spans="1:9" x14ac:dyDescent="0.25">
      <c r="A102" t="s">
        <v>142</v>
      </c>
      <c r="B102" s="13" t="s">
        <v>142</v>
      </c>
      <c r="C102">
        <v>112</v>
      </c>
      <c r="D102" t="s">
        <v>142</v>
      </c>
      <c r="E102">
        <v>56.183</v>
      </c>
      <c r="F102">
        <v>15.617000000000001</v>
      </c>
      <c r="G102" t="s">
        <v>386</v>
      </c>
      <c r="H102">
        <v>4</v>
      </c>
      <c r="I102">
        <v>0.9</v>
      </c>
    </row>
    <row r="103" spans="1:9" x14ac:dyDescent="0.25">
      <c r="A103" t="s">
        <v>143</v>
      </c>
      <c r="B103" s="13" t="s">
        <v>143</v>
      </c>
      <c r="C103">
        <v>113</v>
      </c>
      <c r="D103" t="s">
        <v>143</v>
      </c>
      <c r="E103">
        <v>59.387</v>
      </c>
      <c r="F103">
        <v>13.507999999999999</v>
      </c>
      <c r="G103" t="s">
        <v>347</v>
      </c>
      <c r="H103">
        <v>2</v>
      </c>
      <c r="I103">
        <v>1.1000000000000001</v>
      </c>
    </row>
    <row r="104" spans="1:9" x14ac:dyDescent="0.25">
      <c r="A104" t="s">
        <v>144</v>
      </c>
      <c r="B104" s="13" t="s">
        <v>144</v>
      </c>
      <c r="C104">
        <v>114</v>
      </c>
      <c r="D104" t="s">
        <v>144</v>
      </c>
      <c r="E104">
        <v>58.985999999999997</v>
      </c>
      <c r="F104">
        <v>16.196000000000002</v>
      </c>
      <c r="G104" t="s">
        <v>364</v>
      </c>
      <c r="H104">
        <v>3</v>
      </c>
      <c r="I104">
        <v>1</v>
      </c>
    </row>
    <row r="105" spans="1:9" x14ac:dyDescent="0.25">
      <c r="A105" t="s">
        <v>146</v>
      </c>
      <c r="B105" s="13" t="s">
        <v>146</v>
      </c>
      <c r="C105">
        <v>116</v>
      </c>
      <c r="D105" t="s">
        <v>146</v>
      </c>
      <c r="E105">
        <v>59.512999999999998</v>
      </c>
      <c r="F105">
        <v>13.319000000000001</v>
      </c>
      <c r="G105" t="s">
        <v>347</v>
      </c>
      <c r="H105">
        <v>2</v>
      </c>
      <c r="I105">
        <v>1.1000000000000001</v>
      </c>
    </row>
    <row r="106" spans="1:9" x14ac:dyDescent="0.25">
      <c r="A106" t="s">
        <v>147</v>
      </c>
      <c r="B106" s="13" t="s">
        <v>147</v>
      </c>
      <c r="C106">
        <v>117</v>
      </c>
      <c r="D106" t="s">
        <v>147</v>
      </c>
      <c r="E106">
        <v>57.494</v>
      </c>
      <c r="F106">
        <v>12.688000000000001</v>
      </c>
      <c r="G106" t="s">
        <v>342</v>
      </c>
      <c r="H106">
        <v>3</v>
      </c>
      <c r="I106">
        <v>1</v>
      </c>
    </row>
    <row r="107" spans="1:9" x14ac:dyDescent="0.25">
      <c r="A107" t="s">
        <v>148</v>
      </c>
      <c r="B107" s="13" t="s">
        <v>148</v>
      </c>
      <c r="C107">
        <v>118</v>
      </c>
      <c r="D107" t="s">
        <v>148</v>
      </c>
      <c r="E107">
        <v>67.852999999999994</v>
      </c>
      <c r="F107">
        <v>20.251000000000001</v>
      </c>
      <c r="G107" t="s">
        <v>340</v>
      </c>
      <c r="H107">
        <v>1</v>
      </c>
      <c r="I107">
        <v>1.9</v>
      </c>
    </row>
    <row r="108" spans="1:9" x14ac:dyDescent="0.25">
      <c r="A108" t="s">
        <v>149</v>
      </c>
      <c r="B108" s="13" t="s">
        <v>149</v>
      </c>
      <c r="C108">
        <v>119</v>
      </c>
      <c r="D108" t="s">
        <v>149</v>
      </c>
      <c r="E108">
        <v>57.99</v>
      </c>
      <c r="F108">
        <v>15.641</v>
      </c>
      <c r="G108" t="s">
        <v>368</v>
      </c>
      <c r="H108">
        <v>3</v>
      </c>
      <c r="I108">
        <v>1</v>
      </c>
    </row>
    <row r="109" spans="1:9" x14ac:dyDescent="0.25">
      <c r="A109" t="s">
        <v>150</v>
      </c>
      <c r="B109" s="13" t="s">
        <v>150</v>
      </c>
      <c r="C109">
        <v>120</v>
      </c>
      <c r="D109" t="s">
        <v>150</v>
      </c>
      <c r="E109">
        <v>56.136000000000003</v>
      </c>
      <c r="F109">
        <v>13.162000000000001</v>
      </c>
      <c r="G109" t="s">
        <v>351</v>
      </c>
      <c r="H109">
        <v>4</v>
      </c>
      <c r="I109">
        <v>0.9</v>
      </c>
    </row>
    <row r="110" spans="1:9" x14ac:dyDescent="0.25">
      <c r="A110" t="s">
        <v>151</v>
      </c>
      <c r="B110" s="13" t="s">
        <v>151</v>
      </c>
      <c r="C110">
        <v>121</v>
      </c>
      <c r="D110" t="s">
        <v>151</v>
      </c>
      <c r="E110">
        <v>59.725999999999999</v>
      </c>
      <c r="F110">
        <v>17.789000000000001</v>
      </c>
      <c r="G110" t="s">
        <v>361</v>
      </c>
      <c r="H110">
        <v>3</v>
      </c>
      <c r="I110">
        <v>1</v>
      </c>
    </row>
    <row r="111" spans="1:9" x14ac:dyDescent="0.25">
      <c r="A111" t="s">
        <v>153</v>
      </c>
      <c r="B111" s="13" t="s">
        <v>153</v>
      </c>
      <c r="C111">
        <v>123</v>
      </c>
      <c r="D111" t="s">
        <v>153</v>
      </c>
      <c r="E111">
        <v>59.866</v>
      </c>
      <c r="F111">
        <v>15.023999999999999</v>
      </c>
      <c r="G111" t="s">
        <v>348</v>
      </c>
      <c r="H111">
        <v>3</v>
      </c>
      <c r="I111">
        <v>1</v>
      </c>
    </row>
    <row r="112" spans="1:9" x14ac:dyDescent="0.25">
      <c r="A112" t="s">
        <v>154</v>
      </c>
      <c r="B112" s="13" t="s">
        <v>154</v>
      </c>
      <c r="C112">
        <v>124</v>
      </c>
      <c r="D112" t="s">
        <v>154</v>
      </c>
      <c r="E112">
        <v>62.929000000000002</v>
      </c>
      <c r="F112">
        <v>17.797999999999998</v>
      </c>
      <c r="G112" t="s">
        <v>379</v>
      </c>
      <c r="H112">
        <v>2</v>
      </c>
      <c r="I112">
        <v>1.3</v>
      </c>
    </row>
    <row r="113" spans="1:9" x14ac:dyDescent="0.25">
      <c r="A113" t="s">
        <v>155</v>
      </c>
      <c r="B113" s="13" t="s">
        <v>155</v>
      </c>
      <c r="C113">
        <v>125</v>
      </c>
      <c r="D113" t="s">
        <v>155</v>
      </c>
      <c r="E113">
        <v>56.021000000000001</v>
      </c>
      <c r="F113">
        <v>14.138</v>
      </c>
      <c r="G113" t="s">
        <v>351</v>
      </c>
      <c r="H113">
        <v>4</v>
      </c>
      <c r="I113">
        <v>0.9</v>
      </c>
    </row>
    <row r="114" spans="1:9" x14ac:dyDescent="0.25">
      <c r="A114" t="s">
        <v>156</v>
      </c>
      <c r="B114" s="13" t="s">
        <v>156</v>
      </c>
      <c r="C114">
        <v>126</v>
      </c>
      <c r="D114" t="s">
        <v>156</v>
      </c>
      <c r="E114">
        <v>59.314999999999998</v>
      </c>
      <c r="F114">
        <v>14.109</v>
      </c>
      <c r="G114" t="s">
        <v>347</v>
      </c>
      <c r="H114">
        <v>2</v>
      </c>
      <c r="I114">
        <v>1.1000000000000001</v>
      </c>
    </row>
    <row r="115" spans="1:9" x14ac:dyDescent="0.25">
      <c r="A115" t="s">
        <v>157</v>
      </c>
      <c r="B115" s="13" t="s">
        <v>157</v>
      </c>
      <c r="C115">
        <v>127</v>
      </c>
      <c r="D115" t="s">
        <v>157</v>
      </c>
      <c r="E115">
        <v>59.124000000000002</v>
      </c>
      <c r="F115">
        <v>15.145</v>
      </c>
      <c r="G115" t="s">
        <v>348</v>
      </c>
      <c r="H115">
        <v>3</v>
      </c>
      <c r="I115">
        <v>1</v>
      </c>
    </row>
    <row r="116" spans="1:9" x14ac:dyDescent="0.25">
      <c r="A116" t="s">
        <v>159</v>
      </c>
      <c r="B116" s="13" t="s">
        <v>159</v>
      </c>
      <c r="C116">
        <v>129</v>
      </c>
      <c r="D116" t="s">
        <v>159</v>
      </c>
      <c r="E116">
        <v>57.491</v>
      </c>
      <c r="F116">
        <v>12.079000000000001</v>
      </c>
      <c r="G116" t="s">
        <v>365</v>
      </c>
      <c r="H116">
        <v>4</v>
      </c>
      <c r="I116">
        <v>1</v>
      </c>
    </row>
    <row r="117" spans="1:9" x14ac:dyDescent="0.25">
      <c r="A117" t="s">
        <v>1579</v>
      </c>
      <c r="B117" s="13" t="s">
        <v>160</v>
      </c>
      <c r="C117">
        <v>130</v>
      </c>
      <c r="D117" t="s">
        <v>160</v>
      </c>
      <c r="E117">
        <v>59.423999999999999</v>
      </c>
      <c r="F117">
        <v>16.096</v>
      </c>
      <c r="G117" t="s">
        <v>346</v>
      </c>
      <c r="H117">
        <v>3</v>
      </c>
      <c r="I117">
        <v>1</v>
      </c>
    </row>
    <row r="118" spans="1:9" x14ac:dyDescent="0.25">
      <c r="A118" t="s">
        <v>1537</v>
      </c>
      <c r="B118" s="13" t="s">
        <v>388</v>
      </c>
      <c r="C118">
        <v>128</v>
      </c>
      <c r="D118" t="s">
        <v>388</v>
      </c>
      <c r="E118">
        <v>57.874000000000002</v>
      </c>
      <c r="F118">
        <v>11.974</v>
      </c>
      <c r="G118" t="s">
        <v>342</v>
      </c>
      <c r="H118">
        <v>3</v>
      </c>
      <c r="I118">
        <v>0.9</v>
      </c>
    </row>
    <row r="119" spans="1:9" x14ac:dyDescent="0.25">
      <c r="A119" s="13" t="s">
        <v>161</v>
      </c>
      <c r="B119" s="13" t="s">
        <v>161</v>
      </c>
      <c r="C119">
        <v>131</v>
      </c>
      <c r="D119" s="13" t="s">
        <v>161</v>
      </c>
      <c r="G119" s="12" t="s">
        <v>340</v>
      </c>
      <c r="H119">
        <v>1</v>
      </c>
      <c r="I119" s="12">
        <v>1.8</v>
      </c>
    </row>
    <row r="120" spans="1:9" x14ac:dyDescent="0.25">
      <c r="A120" t="s">
        <v>1536</v>
      </c>
      <c r="B120" s="13" t="s">
        <v>389</v>
      </c>
      <c r="C120">
        <v>115</v>
      </c>
      <c r="D120" t="s">
        <v>389</v>
      </c>
      <c r="E120">
        <v>55.792000000000002</v>
      </c>
      <c r="F120">
        <v>13.115</v>
      </c>
      <c r="G120" t="s">
        <v>351</v>
      </c>
      <c r="H120">
        <v>4</v>
      </c>
      <c r="I120">
        <v>0.9</v>
      </c>
    </row>
    <row r="121" spans="1:9" x14ac:dyDescent="0.25">
      <c r="A121" t="s">
        <v>1578</v>
      </c>
      <c r="B121" s="13" t="s">
        <v>152</v>
      </c>
      <c r="C121">
        <v>122</v>
      </c>
      <c r="D121" t="s">
        <v>152</v>
      </c>
      <c r="E121">
        <v>59.511000000000003</v>
      </c>
      <c r="F121">
        <v>16.013999999999999</v>
      </c>
      <c r="G121" t="s">
        <v>346</v>
      </c>
      <c r="H121">
        <v>3</v>
      </c>
      <c r="I121">
        <v>1</v>
      </c>
    </row>
    <row r="122" spans="1:9" x14ac:dyDescent="0.25">
      <c r="A122" t="s">
        <v>162</v>
      </c>
      <c r="B122" s="13" t="s">
        <v>162</v>
      </c>
      <c r="C122">
        <v>132</v>
      </c>
      <c r="D122" t="s">
        <v>162</v>
      </c>
      <c r="E122">
        <v>56.505000000000003</v>
      </c>
      <c r="F122">
        <v>13.042</v>
      </c>
      <c r="G122" t="s">
        <v>365</v>
      </c>
      <c r="H122">
        <v>4</v>
      </c>
      <c r="I122">
        <v>1</v>
      </c>
    </row>
    <row r="123" spans="1:9" x14ac:dyDescent="0.25">
      <c r="A123" t="s">
        <v>163</v>
      </c>
      <c r="B123" s="13" t="s">
        <v>163</v>
      </c>
      <c r="C123">
        <v>133</v>
      </c>
      <c r="D123" t="s">
        <v>163</v>
      </c>
      <c r="E123">
        <v>55.878</v>
      </c>
      <c r="F123">
        <v>12.837</v>
      </c>
      <c r="G123" t="s">
        <v>351</v>
      </c>
      <c r="H123">
        <v>4</v>
      </c>
      <c r="I123">
        <v>0.8</v>
      </c>
    </row>
    <row r="124" spans="1:9" x14ac:dyDescent="0.25">
      <c r="A124" t="s">
        <v>1505</v>
      </c>
      <c r="B124" s="13" t="s">
        <v>391</v>
      </c>
      <c r="C124">
        <v>134</v>
      </c>
      <c r="D124" t="s">
        <v>391</v>
      </c>
      <c r="E124">
        <v>58.984000000000002</v>
      </c>
      <c r="F124">
        <v>14.625</v>
      </c>
      <c r="G124" t="s">
        <v>348</v>
      </c>
      <c r="H124">
        <v>3</v>
      </c>
      <c r="I124">
        <v>1</v>
      </c>
    </row>
    <row r="125" spans="1:9" x14ac:dyDescent="0.25">
      <c r="A125" t="s">
        <v>165</v>
      </c>
      <c r="B125" s="13" t="s">
        <v>165</v>
      </c>
      <c r="C125">
        <v>135</v>
      </c>
      <c r="D125" t="s">
        <v>165</v>
      </c>
      <c r="E125">
        <v>59.167000000000002</v>
      </c>
      <c r="F125">
        <v>14.867000000000001</v>
      </c>
      <c r="G125" t="s">
        <v>348</v>
      </c>
      <c r="H125">
        <v>3</v>
      </c>
      <c r="I125">
        <v>1</v>
      </c>
    </row>
    <row r="126" spans="1:9" x14ac:dyDescent="0.25">
      <c r="A126" t="s">
        <v>166</v>
      </c>
      <c r="B126" s="13" t="s">
        <v>166</v>
      </c>
      <c r="C126">
        <v>136</v>
      </c>
      <c r="D126" t="s">
        <v>166</v>
      </c>
      <c r="E126">
        <v>60.725000000000001</v>
      </c>
      <c r="F126">
        <v>15.029</v>
      </c>
      <c r="G126" t="s">
        <v>349</v>
      </c>
      <c r="H126">
        <v>2</v>
      </c>
      <c r="I126">
        <v>1.2</v>
      </c>
    </row>
    <row r="127" spans="1:9" x14ac:dyDescent="0.25">
      <c r="A127" t="s">
        <v>167</v>
      </c>
      <c r="B127" s="13" t="s">
        <v>167</v>
      </c>
      <c r="C127">
        <v>137</v>
      </c>
      <c r="D127" t="s">
        <v>167</v>
      </c>
      <c r="E127">
        <v>57.771999999999998</v>
      </c>
      <c r="F127">
        <v>12.28</v>
      </c>
      <c r="G127" t="s">
        <v>342</v>
      </c>
      <c r="H127">
        <v>3</v>
      </c>
      <c r="I127">
        <v>0.9</v>
      </c>
    </row>
    <row r="128" spans="1:9" x14ac:dyDescent="0.25">
      <c r="A128" t="s">
        <v>168</v>
      </c>
      <c r="B128" s="13" t="s">
        <v>168</v>
      </c>
      <c r="C128">
        <v>138</v>
      </c>
      <c r="D128" t="s">
        <v>168</v>
      </c>
      <c r="E128">
        <v>56.752000000000002</v>
      </c>
      <c r="F128">
        <v>15.276</v>
      </c>
      <c r="G128" t="s">
        <v>343</v>
      </c>
      <c r="H128">
        <v>3</v>
      </c>
      <c r="I128">
        <v>1</v>
      </c>
    </row>
    <row r="129" spans="1:9" x14ac:dyDescent="0.25">
      <c r="A129" t="s">
        <v>1580</v>
      </c>
      <c r="B129" s="13" t="s">
        <v>169</v>
      </c>
      <c r="C129">
        <v>139</v>
      </c>
      <c r="D129" t="s">
        <v>169</v>
      </c>
      <c r="E129">
        <v>59.366999999999997</v>
      </c>
      <c r="F129">
        <v>18.183</v>
      </c>
      <c r="G129" t="s">
        <v>341</v>
      </c>
      <c r="H129">
        <v>3</v>
      </c>
      <c r="I129">
        <v>1</v>
      </c>
    </row>
    <row r="130" spans="1:9" x14ac:dyDescent="0.25">
      <c r="A130" t="s">
        <v>1581</v>
      </c>
      <c r="B130" s="13" t="s">
        <v>170</v>
      </c>
      <c r="C130">
        <v>140</v>
      </c>
      <c r="D130" t="s">
        <v>170</v>
      </c>
      <c r="E130">
        <v>58.503999999999998</v>
      </c>
      <c r="F130">
        <v>13.151</v>
      </c>
      <c r="G130" t="s">
        <v>342</v>
      </c>
      <c r="H130">
        <v>3</v>
      </c>
      <c r="I130">
        <v>1</v>
      </c>
    </row>
    <row r="131" spans="1:9" x14ac:dyDescent="0.25">
      <c r="A131" t="s">
        <v>171</v>
      </c>
      <c r="B131" s="13" t="s">
        <v>171</v>
      </c>
      <c r="C131">
        <v>141</v>
      </c>
      <c r="D131" t="s">
        <v>171</v>
      </c>
      <c r="E131">
        <v>58.133000000000003</v>
      </c>
      <c r="F131">
        <v>12.132999999999999</v>
      </c>
      <c r="G131" t="s">
        <v>342</v>
      </c>
      <c r="H131">
        <v>3</v>
      </c>
      <c r="I131">
        <v>1</v>
      </c>
    </row>
    <row r="132" spans="1:9" x14ac:dyDescent="0.25">
      <c r="A132" t="s">
        <v>172</v>
      </c>
      <c r="B132" s="13" t="s">
        <v>172</v>
      </c>
      <c r="C132">
        <v>142</v>
      </c>
      <c r="D132" t="s">
        <v>172</v>
      </c>
      <c r="E132">
        <v>59.593000000000004</v>
      </c>
      <c r="F132">
        <v>15.228999999999999</v>
      </c>
      <c r="G132" t="s">
        <v>348</v>
      </c>
      <c r="H132">
        <v>3</v>
      </c>
      <c r="I132">
        <v>1.1000000000000001</v>
      </c>
    </row>
    <row r="133" spans="1:9" x14ac:dyDescent="0.25">
      <c r="A133" t="s">
        <v>1582</v>
      </c>
      <c r="B133" s="13" t="s">
        <v>173</v>
      </c>
      <c r="C133">
        <v>143</v>
      </c>
      <c r="D133" t="s">
        <v>173</v>
      </c>
      <c r="E133">
        <v>58.4</v>
      </c>
      <c r="F133">
        <v>15.646000000000001</v>
      </c>
      <c r="G133" t="s">
        <v>368</v>
      </c>
      <c r="H133">
        <v>3</v>
      </c>
      <c r="I133">
        <v>1</v>
      </c>
    </row>
    <row r="134" spans="1:9" x14ac:dyDescent="0.25">
      <c r="A134" t="s">
        <v>174</v>
      </c>
      <c r="B134" s="13" t="s">
        <v>174</v>
      </c>
      <c r="C134">
        <v>144</v>
      </c>
      <c r="D134" t="s">
        <v>174</v>
      </c>
      <c r="E134">
        <v>56.831000000000003</v>
      </c>
      <c r="F134">
        <v>13.946999999999999</v>
      </c>
      <c r="G134" t="s">
        <v>343</v>
      </c>
      <c r="H134">
        <v>3</v>
      </c>
      <c r="I134">
        <v>1</v>
      </c>
    </row>
    <row r="135" spans="1:9" x14ac:dyDescent="0.25">
      <c r="A135" t="s">
        <v>175</v>
      </c>
      <c r="B135" s="13" t="s">
        <v>175</v>
      </c>
      <c r="C135">
        <v>145</v>
      </c>
      <c r="D135" t="s">
        <v>175</v>
      </c>
      <c r="E135">
        <v>61.828000000000003</v>
      </c>
      <c r="F135">
        <v>16.103000000000002</v>
      </c>
      <c r="G135" s="12" t="s">
        <v>352</v>
      </c>
      <c r="H135">
        <v>2</v>
      </c>
      <c r="I135">
        <v>1.3</v>
      </c>
    </row>
    <row r="136" spans="1:9" x14ac:dyDescent="0.25">
      <c r="A136" t="s">
        <v>176</v>
      </c>
      <c r="B136" s="13" t="s">
        <v>176</v>
      </c>
      <c r="C136">
        <v>146</v>
      </c>
      <c r="D136" t="s">
        <v>176</v>
      </c>
      <c r="E136">
        <v>55.667000000000002</v>
      </c>
      <c r="F136">
        <v>13.083</v>
      </c>
      <c r="G136" t="s">
        <v>351</v>
      </c>
      <c r="H136">
        <v>4</v>
      </c>
      <c r="I136">
        <v>0.8</v>
      </c>
    </row>
    <row r="137" spans="1:9" x14ac:dyDescent="0.25">
      <c r="A137" t="s">
        <v>177</v>
      </c>
      <c r="B137" s="13" t="s">
        <v>177</v>
      </c>
      <c r="C137">
        <v>147</v>
      </c>
      <c r="D137" t="s">
        <v>177</v>
      </c>
      <c r="E137">
        <v>60.14</v>
      </c>
      <c r="F137">
        <v>15.196999999999999</v>
      </c>
      <c r="G137" t="s">
        <v>349</v>
      </c>
      <c r="H137">
        <v>2</v>
      </c>
      <c r="I137">
        <v>1.2</v>
      </c>
    </row>
    <row r="138" spans="1:9" x14ac:dyDescent="0.25">
      <c r="A138" t="s">
        <v>1506</v>
      </c>
      <c r="B138" s="13" t="s">
        <v>178</v>
      </c>
      <c r="C138">
        <v>148</v>
      </c>
      <c r="D138" t="s">
        <v>178</v>
      </c>
      <c r="E138">
        <v>65.588999999999999</v>
      </c>
      <c r="F138">
        <v>22.167000000000002</v>
      </c>
      <c r="G138" t="s">
        <v>340</v>
      </c>
      <c r="H138">
        <v>1</v>
      </c>
      <c r="I138">
        <v>1.5</v>
      </c>
    </row>
    <row r="139" spans="1:9" x14ac:dyDescent="0.25">
      <c r="A139" t="s">
        <v>179</v>
      </c>
      <c r="B139" s="13" t="s">
        <v>179</v>
      </c>
      <c r="C139">
        <v>149</v>
      </c>
      <c r="D139" t="s">
        <v>179</v>
      </c>
      <c r="E139">
        <v>55.704999999999998</v>
      </c>
      <c r="F139">
        <v>13.2</v>
      </c>
      <c r="G139" t="s">
        <v>351</v>
      </c>
      <c r="H139">
        <v>4</v>
      </c>
      <c r="I139">
        <v>0.9</v>
      </c>
    </row>
    <row r="140" spans="1:9" x14ac:dyDescent="0.25">
      <c r="A140" t="s">
        <v>180</v>
      </c>
      <c r="B140" s="13" t="s">
        <v>180</v>
      </c>
      <c r="C140">
        <v>150</v>
      </c>
      <c r="D140" t="s">
        <v>180</v>
      </c>
      <c r="E140">
        <v>64.590999999999994</v>
      </c>
      <c r="F140">
        <v>18.690999999999999</v>
      </c>
      <c r="G140" t="s">
        <v>350</v>
      </c>
      <c r="H140">
        <v>1</v>
      </c>
      <c r="I140">
        <v>1.5</v>
      </c>
    </row>
    <row r="141" spans="1:9" x14ac:dyDescent="0.25">
      <c r="A141" t="s">
        <v>181</v>
      </c>
      <c r="B141" s="13" t="s">
        <v>181</v>
      </c>
      <c r="C141">
        <v>151</v>
      </c>
      <c r="D141" t="s">
        <v>181</v>
      </c>
      <c r="E141">
        <v>58.279000000000003</v>
      </c>
      <c r="F141">
        <v>11.443</v>
      </c>
      <c r="G141" t="s">
        <v>342</v>
      </c>
      <c r="H141">
        <v>3</v>
      </c>
      <c r="I141">
        <v>0.9</v>
      </c>
    </row>
    <row r="142" spans="1:9" x14ac:dyDescent="0.25">
      <c r="A142" t="s">
        <v>395</v>
      </c>
      <c r="B142" s="13" t="s">
        <v>395</v>
      </c>
      <c r="C142">
        <v>153</v>
      </c>
      <c r="D142" t="s">
        <v>395</v>
      </c>
      <c r="E142">
        <v>58.072000000000003</v>
      </c>
      <c r="F142">
        <v>15.236000000000001</v>
      </c>
      <c r="G142" t="s">
        <v>368</v>
      </c>
      <c r="H142">
        <v>3</v>
      </c>
      <c r="I142">
        <v>1</v>
      </c>
    </row>
    <row r="143" spans="1:9" x14ac:dyDescent="0.25">
      <c r="A143" t="s">
        <v>1583</v>
      </c>
      <c r="B143" s="13" t="s">
        <v>184</v>
      </c>
      <c r="C143">
        <v>154</v>
      </c>
      <c r="D143" t="s">
        <v>184</v>
      </c>
      <c r="E143">
        <v>55.591999999999999</v>
      </c>
      <c r="F143">
        <v>13.025</v>
      </c>
      <c r="G143" t="s">
        <v>351</v>
      </c>
      <c r="H143">
        <v>4</v>
      </c>
      <c r="I143">
        <v>0.8</v>
      </c>
    </row>
    <row r="144" spans="1:9" x14ac:dyDescent="0.25">
      <c r="A144" t="s">
        <v>185</v>
      </c>
      <c r="B144" s="13" t="s">
        <v>185</v>
      </c>
      <c r="C144">
        <v>155</v>
      </c>
      <c r="D144" t="s">
        <v>185</v>
      </c>
      <c r="E144">
        <v>60.680999999999997</v>
      </c>
      <c r="F144">
        <v>13.709</v>
      </c>
      <c r="G144" t="s">
        <v>349</v>
      </c>
      <c r="H144">
        <v>2</v>
      </c>
      <c r="I144">
        <v>1.4</v>
      </c>
    </row>
    <row r="145" spans="1:9" x14ac:dyDescent="0.25">
      <c r="A145" t="s">
        <v>1507</v>
      </c>
      <c r="B145" s="13" t="s">
        <v>400</v>
      </c>
      <c r="C145">
        <v>152</v>
      </c>
      <c r="D145" t="s">
        <v>400</v>
      </c>
      <c r="E145">
        <v>65.183999999999997</v>
      </c>
      <c r="F145">
        <v>18.748999999999999</v>
      </c>
      <c r="G145" t="s">
        <v>350</v>
      </c>
      <c r="H145">
        <v>1</v>
      </c>
      <c r="I145">
        <v>1.6</v>
      </c>
    </row>
    <row r="146" spans="1:9" x14ac:dyDescent="0.25">
      <c r="A146" t="s">
        <v>186</v>
      </c>
      <c r="B146" s="13" t="s">
        <v>186</v>
      </c>
      <c r="C146">
        <v>156</v>
      </c>
      <c r="D146" t="s">
        <v>186</v>
      </c>
      <c r="E146">
        <v>58.704000000000001</v>
      </c>
      <c r="F146">
        <v>13.835000000000001</v>
      </c>
      <c r="G146" t="s">
        <v>342</v>
      </c>
      <c r="H146">
        <v>3</v>
      </c>
      <c r="I146">
        <v>1</v>
      </c>
    </row>
    <row r="147" spans="1:9" x14ac:dyDescent="0.25">
      <c r="A147" t="s">
        <v>187</v>
      </c>
      <c r="B147" s="13" t="s">
        <v>187</v>
      </c>
      <c r="C147">
        <v>157</v>
      </c>
      <c r="D147" t="s">
        <v>187</v>
      </c>
      <c r="E147">
        <v>56.46</v>
      </c>
      <c r="F147">
        <v>13.601000000000001</v>
      </c>
      <c r="G147" t="s">
        <v>343</v>
      </c>
      <c r="H147">
        <v>3</v>
      </c>
      <c r="I147">
        <v>1</v>
      </c>
    </row>
    <row r="148" spans="1:9" x14ac:dyDescent="0.25">
      <c r="A148" t="s">
        <v>189</v>
      </c>
      <c r="B148" s="13" t="s">
        <v>189</v>
      </c>
      <c r="C148">
        <v>159</v>
      </c>
      <c r="D148" t="s">
        <v>189</v>
      </c>
      <c r="E148">
        <v>58.698999999999998</v>
      </c>
      <c r="F148">
        <v>12.462</v>
      </c>
      <c r="G148" t="s">
        <v>342</v>
      </c>
      <c r="H148">
        <v>3</v>
      </c>
      <c r="I148">
        <v>1</v>
      </c>
    </row>
    <row r="149" spans="1:9" x14ac:dyDescent="0.25">
      <c r="A149" t="s">
        <v>1584</v>
      </c>
      <c r="B149" s="13" t="s">
        <v>190</v>
      </c>
      <c r="C149">
        <v>160</v>
      </c>
      <c r="D149" t="s">
        <v>190</v>
      </c>
      <c r="E149">
        <v>58.328000000000003</v>
      </c>
      <c r="F149">
        <v>15.134</v>
      </c>
      <c r="G149" t="s">
        <v>368</v>
      </c>
      <c r="H149">
        <v>3</v>
      </c>
      <c r="I149">
        <v>1</v>
      </c>
    </row>
    <row r="150" spans="1:9" x14ac:dyDescent="0.25">
      <c r="A150" t="s">
        <v>193</v>
      </c>
      <c r="B150" s="13" t="s">
        <v>193</v>
      </c>
      <c r="C150">
        <v>163</v>
      </c>
      <c r="D150" t="s">
        <v>193</v>
      </c>
      <c r="E150">
        <v>61.008000000000003</v>
      </c>
      <c r="F150">
        <v>14.545</v>
      </c>
      <c r="G150" t="s">
        <v>349</v>
      </c>
      <c r="H150">
        <v>2</v>
      </c>
      <c r="I150">
        <v>1.2</v>
      </c>
    </row>
    <row r="151" spans="1:9" x14ac:dyDescent="0.25">
      <c r="A151" t="s">
        <v>195</v>
      </c>
      <c r="B151" s="13" t="s">
        <v>195</v>
      </c>
      <c r="C151">
        <v>165</v>
      </c>
      <c r="D151" t="s">
        <v>195</v>
      </c>
      <c r="E151">
        <v>58.545000000000002</v>
      </c>
      <c r="F151">
        <v>15.042</v>
      </c>
      <c r="G151" t="s">
        <v>368</v>
      </c>
      <c r="H151">
        <v>3</v>
      </c>
      <c r="I151">
        <v>1</v>
      </c>
    </row>
    <row r="152" spans="1:9" x14ac:dyDescent="0.25">
      <c r="A152" t="s">
        <v>196</v>
      </c>
      <c r="B152" s="13" t="s">
        <v>196</v>
      </c>
      <c r="C152">
        <v>166</v>
      </c>
      <c r="D152" t="s">
        <v>196</v>
      </c>
      <c r="E152">
        <v>58.473999999999997</v>
      </c>
      <c r="F152">
        <v>11.685</v>
      </c>
      <c r="G152" t="s">
        <v>342</v>
      </c>
      <c r="H152">
        <v>3</v>
      </c>
      <c r="I152">
        <v>1</v>
      </c>
    </row>
    <row r="153" spans="1:9" x14ac:dyDescent="0.25">
      <c r="A153" t="s">
        <v>197</v>
      </c>
      <c r="B153" s="13" t="s">
        <v>197</v>
      </c>
      <c r="C153">
        <v>167</v>
      </c>
      <c r="D153" t="s">
        <v>197</v>
      </c>
      <c r="E153">
        <v>59.832999999999998</v>
      </c>
      <c r="F153">
        <v>13.532999999999999</v>
      </c>
      <c r="G153" t="s">
        <v>347</v>
      </c>
      <c r="H153">
        <v>2</v>
      </c>
      <c r="I153">
        <v>1.1000000000000001</v>
      </c>
    </row>
    <row r="154" spans="1:9" x14ac:dyDescent="0.25">
      <c r="A154" t="s">
        <v>1538</v>
      </c>
      <c r="B154" s="13" t="s">
        <v>188</v>
      </c>
      <c r="C154">
        <v>158</v>
      </c>
      <c r="D154" t="s">
        <v>188</v>
      </c>
      <c r="E154">
        <v>59.87</v>
      </c>
      <c r="F154">
        <v>17.722999999999999</v>
      </c>
      <c r="G154" t="s">
        <v>341</v>
      </c>
      <c r="H154">
        <v>3</v>
      </c>
      <c r="I154">
        <v>1</v>
      </c>
    </row>
    <row r="155" spans="1:9" x14ac:dyDescent="0.25">
      <c r="A155" t="s">
        <v>1585</v>
      </c>
      <c r="B155" s="13" t="s">
        <v>191</v>
      </c>
      <c r="C155">
        <v>161</v>
      </c>
      <c r="D155" t="s">
        <v>191</v>
      </c>
      <c r="E155">
        <v>57.654000000000003</v>
      </c>
      <c r="F155">
        <v>12.019</v>
      </c>
      <c r="G155" t="s">
        <v>342</v>
      </c>
      <c r="H155">
        <v>4</v>
      </c>
      <c r="I155">
        <v>0.9</v>
      </c>
    </row>
    <row r="156" spans="1:9" x14ac:dyDescent="0.25">
      <c r="A156" t="s">
        <v>1586</v>
      </c>
      <c r="B156" s="13" t="s">
        <v>192</v>
      </c>
      <c r="C156">
        <v>162</v>
      </c>
      <c r="D156" t="s">
        <v>192</v>
      </c>
      <c r="E156">
        <v>57.04</v>
      </c>
      <c r="F156">
        <v>16.442</v>
      </c>
      <c r="G156" t="s">
        <v>354</v>
      </c>
      <c r="H156">
        <v>4</v>
      </c>
      <c r="I156">
        <v>0.9</v>
      </c>
    </row>
    <row r="157" spans="1:9" x14ac:dyDescent="0.25">
      <c r="A157" t="s">
        <v>1587</v>
      </c>
      <c r="B157" s="13" t="s">
        <v>194</v>
      </c>
      <c r="C157">
        <v>164</v>
      </c>
      <c r="D157" t="s">
        <v>194</v>
      </c>
      <c r="E157">
        <v>56.524000000000001</v>
      </c>
      <c r="F157">
        <v>16.384</v>
      </c>
      <c r="G157" t="s">
        <v>354</v>
      </c>
      <c r="H157">
        <v>4</v>
      </c>
      <c r="I157">
        <v>0.9</v>
      </c>
    </row>
    <row r="158" spans="1:9" x14ac:dyDescent="0.25">
      <c r="A158" t="s">
        <v>198</v>
      </c>
      <c r="B158" s="13" t="s">
        <v>198</v>
      </c>
      <c r="C158">
        <v>168</v>
      </c>
      <c r="D158" t="s">
        <v>198</v>
      </c>
      <c r="E158">
        <v>59.31</v>
      </c>
      <c r="F158">
        <v>18.164000000000001</v>
      </c>
      <c r="G158" t="s">
        <v>341</v>
      </c>
      <c r="H158">
        <v>3</v>
      </c>
      <c r="I158">
        <v>1</v>
      </c>
    </row>
    <row r="159" spans="1:9" x14ac:dyDescent="0.25">
      <c r="A159" t="s">
        <v>200</v>
      </c>
      <c r="B159" s="13" t="s">
        <v>200</v>
      </c>
      <c r="C159">
        <v>170</v>
      </c>
      <c r="D159" t="s">
        <v>200</v>
      </c>
      <c r="E159">
        <v>59.517000000000003</v>
      </c>
      <c r="F159">
        <v>15.032999999999999</v>
      </c>
      <c r="G159" t="s">
        <v>348</v>
      </c>
      <c r="H159">
        <v>3</v>
      </c>
      <c r="I159">
        <v>1.1000000000000001</v>
      </c>
    </row>
    <row r="160" spans="1:9" x14ac:dyDescent="0.25">
      <c r="A160" t="s">
        <v>201</v>
      </c>
      <c r="B160" s="13" t="s">
        <v>201</v>
      </c>
      <c r="C160">
        <v>171</v>
      </c>
      <c r="D160" t="s">
        <v>201</v>
      </c>
      <c r="E160">
        <v>60.353000000000002</v>
      </c>
      <c r="F160">
        <v>15.553000000000001</v>
      </c>
      <c r="G160" t="s">
        <v>346</v>
      </c>
      <c r="H160">
        <v>3</v>
      </c>
      <c r="I160">
        <v>1.1000000000000001</v>
      </c>
    </row>
    <row r="161" spans="1:9" x14ac:dyDescent="0.25">
      <c r="A161" t="s">
        <v>202</v>
      </c>
      <c r="B161" s="13" t="s">
        <v>202</v>
      </c>
      <c r="C161">
        <v>172</v>
      </c>
      <c r="D161" t="s">
        <v>202</v>
      </c>
      <c r="E161">
        <v>61.982999999999997</v>
      </c>
      <c r="F161">
        <v>17.067</v>
      </c>
      <c r="G161" t="s">
        <v>352</v>
      </c>
      <c r="H161">
        <v>2</v>
      </c>
      <c r="I161">
        <v>1.2</v>
      </c>
    </row>
    <row r="162" spans="1:9" x14ac:dyDescent="0.25">
      <c r="A162" t="s">
        <v>203</v>
      </c>
      <c r="B162" s="13" t="s">
        <v>203</v>
      </c>
      <c r="C162">
        <v>173</v>
      </c>
      <c r="D162" t="s">
        <v>203</v>
      </c>
      <c r="E162">
        <v>63.572000000000003</v>
      </c>
      <c r="F162">
        <v>19.512</v>
      </c>
      <c r="G162" t="s">
        <v>350</v>
      </c>
      <c r="H162">
        <v>1</v>
      </c>
      <c r="I162">
        <v>1.3</v>
      </c>
    </row>
    <row r="163" spans="1:9" x14ac:dyDescent="0.25">
      <c r="A163" t="s">
        <v>1589</v>
      </c>
      <c r="B163" s="13" t="s">
        <v>204</v>
      </c>
      <c r="C163">
        <v>174</v>
      </c>
      <c r="D163" t="s">
        <v>204</v>
      </c>
      <c r="E163">
        <v>58.591999999999999</v>
      </c>
      <c r="F163">
        <v>16.193000000000001</v>
      </c>
      <c r="G163" t="s">
        <v>368</v>
      </c>
      <c r="H163">
        <v>3</v>
      </c>
      <c r="I163">
        <v>1</v>
      </c>
    </row>
    <row r="164" spans="1:9" x14ac:dyDescent="0.25">
      <c r="A164" t="s">
        <v>1539</v>
      </c>
      <c r="B164" s="13" t="s">
        <v>205</v>
      </c>
      <c r="C164">
        <v>175</v>
      </c>
      <c r="D164" t="s">
        <v>205</v>
      </c>
      <c r="E164">
        <v>59.759</v>
      </c>
      <c r="F164">
        <v>18.702999999999999</v>
      </c>
      <c r="G164" t="s">
        <v>341</v>
      </c>
      <c r="H164">
        <v>3</v>
      </c>
      <c r="I164">
        <v>1</v>
      </c>
    </row>
    <row r="165" spans="1:9" x14ac:dyDescent="0.25">
      <c r="A165" t="s">
        <v>1590</v>
      </c>
      <c r="B165" s="13" t="s">
        <v>404</v>
      </c>
      <c r="C165">
        <v>176</v>
      </c>
      <c r="D165" t="s">
        <v>404</v>
      </c>
      <c r="E165">
        <v>64.926000000000002</v>
      </c>
      <c r="F165">
        <v>19.378</v>
      </c>
      <c r="G165" t="s">
        <v>350</v>
      </c>
      <c r="H165">
        <v>1</v>
      </c>
      <c r="I165">
        <v>1.6</v>
      </c>
    </row>
    <row r="166" spans="1:9" x14ac:dyDescent="0.25">
      <c r="A166" t="s">
        <v>207</v>
      </c>
      <c r="B166" s="13" t="s">
        <v>207</v>
      </c>
      <c r="C166">
        <v>177</v>
      </c>
      <c r="D166" t="s">
        <v>207</v>
      </c>
      <c r="E166">
        <v>56.746000000000002</v>
      </c>
      <c r="F166">
        <v>15.906000000000001</v>
      </c>
      <c r="G166" t="s">
        <v>354</v>
      </c>
      <c r="H166">
        <v>4</v>
      </c>
      <c r="I166">
        <v>0.9</v>
      </c>
    </row>
    <row r="167" spans="1:9" x14ac:dyDescent="0.25">
      <c r="A167" t="s">
        <v>209</v>
      </c>
      <c r="B167" s="13" t="s">
        <v>209</v>
      </c>
      <c r="C167">
        <v>179</v>
      </c>
      <c r="D167" t="s">
        <v>209</v>
      </c>
      <c r="E167">
        <v>59.167000000000002</v>
      </c>
      <c r="F167">
        <v>17.433</v>
      </c>
      <c r="G167" t="s">
        <v>341</v>
      </c>
      <c r="H167">
        <v>3</v>
      </c>
      <c r="I167">
        <v>1</v>
      </c>
    </row>
    <row r="168" spans="1:9" x14ac:dyDescent="0.25">
      <c r="A168" t="s">
        <v>1591</v>
      </c>
      <c r="B168" s="13" t="s">
        <v>208</v>
      </c>
      <c r="C168">
        <v>178</v>
      </c>
      <c r="D168" t="s">
        <v>208</v>
      </c>
      <c r="E168">
        <v>58.759</v>
      </c>
      <c r="F168">
        <v>17.015000000000001</v>
      </c>
      <c r="G168" t="s">
        <v>364</v>
      </c>
      <c r="H168">
        <v>3</v>
      </c>
      <c r="I168">
        <v>1</v>
      </c>
    </row>
    <row r="169" spans="1:9" x14ac:dyDescent="0.25">
      <c r="A169" t="s">
        <v>1540</v>
      </c>
      <c r="B169" s="13" t="s">
        <v>210</v>
      </c>
      <c r="C169">
        <v>180</v>
      </c>
      <c r="D169" t="s">
        <v>210</v>
      </c>
      <c r="E169">
        <v>58.902999999999999</v>
      </c>
      <c r="F169">
        <v>17.948</v>
      </c>
      <c r="G169" t="s">
        <v>341</v>
      </c>
      <c r="H169">
        <v>3</v>
      </c>
      <c r="I169">
        <v>1</v>
      </c>
    </row>
    <row r="170" spans="1:9" x14ac:dyDescent="0.25">
      <c r="A170" t="s">
        <v>1588</v>
      </c>
      <c r="B170" s="13" t="s">
        <v>406</v>
      </c>
      <c r="C170">
        <v>169</v>
      </c>
      <c r="D170" t="s">
        <v>406</v>
      </c>
      <c r="E170">
        <v>57.655000000000001</v>
      </c>
      <c r="F170">
        <v>14.696999999999999</v>
      </c>
      <c r="G170" t="s">
        <v>345</v>
      </c>
      <c r="H170">
        <v>3</v>
      </c>
      <c r="I170">
        <v>1.1000000000000001</v>
      </c>
    </row>
    <row r="171" spans="1:9" x14ac:dyDescent="0.25">
      <c r="A171" t="s">
        <v>211</v>
      </c>
      <c r="B171" s="13" t="s">
        <v>211</v>
      </c>
      <c r="C171">
        <v>181</v>
      </c>
      <c r="D171" t="s">
        <v>211</v>
      </c>
      <c r="E171">
        <v>60.896999999999998</v>
      </c>
      <c r="F171">
        <v>16.722999999999999</v>
      </c>
      <c r="G171" t="s">
        <v>352</v>
      </c>
      <c r="H171">
        <v>2</v>
      </c>
      <c r="I171">
        <v>1.1000000000000001</v>
      </c>
    </row>
    <row r="172" spans="1:9" x14ac:dyDescent="0.25">
      <c r="A172" t="s">
        <v>1594</v>
      </c>
      <c r="B172" s="13" t="s">
        <v>214</v>
      </c>
      <c r="C172">
        <v>184</v>
      </c>
      <c r="D172" t="s">
        <v>214</v>
      </c>
      <c r="E172">
        <v>56.280999999999999</v>
      </c>
      <c r="F172">
        <v>14.523999999999999</v>
      </c>
      <c r="G172" t="s">
        <v>386</v>
      </c>
      <c r="H172">
        <v>4</v>
      </c>
      <c r="I172">
        <v>0.9</v>
      </c>
    </row>
    <row r="173" spans="1:9" x14ac:dyDescent="0.25">
      <c r="A173" t="s">
        <v>218</v>
      </c>
      <c r="B173" s="13" t="s">
        <v>218</v>
      </c>
      <c r="C173">
        <v>188</v>
      </c>
      <c r="D173" t="s">
        <v>218</v>
      </c>
      <c r="E173">
        <v>61.12</v>
      </c>
      <c r="F173">
        <v>14.609</v>
      </c>
      <c r="G173" t="s">
        <v>349</v>
      </c>
      <c r="H173">
        <v>2</v>
      </c>
      <c r="I173">
        <v>1.2</v>
      </c>
    </row>
    <row r="174" spans="1:9" x14ac:dyDescent="0.25">
      <c r="A174" t="s">
        <v>219</v>
      </c>
      <c r="B174" s="13" t="s">
        <v>219</v>
      </c>
      <c r="C174">
        <v>189</v>
      </c>
      <c r="D174" t="s">
        <v>219</v>
      </c>
      <c r="E174">
        <v>58.235999999999997</v>
      </c>
      <c r="F174">
        <v>11.664</v>
      </c>
      <c r="G174" t="s">
        <v>342</v>
      </c>
      <c r="H174">
        <v>3</v>
      </c>
      <c r="I174">
        <v>0.9</v>
      </c>
    </row>
    <row r="175" spans="1:9" x14ac:dyDescent="0.25">
      <c r="A175" t="s">
        <v>220</v>
      </c>
      <c r="B175" s="13" t="s">
        <v>220</v>
      </c>
      <c r="C175">
        <v>190</v>
      </c>
      <c r="D175" t="s">
        <v>220</v>
      </c>
      <c r="E175">
        <v>56.377000000000002</v>
      </c>
      <c r="F175">
        <v>14.004</v>
      </c>
      <c r="G175" t="s">
        <v>351</v>
      </c>
      <c r="H175">
        <v>4</v>
      </c>
      <c r="I175">
        <v>1</v>
      </c>
    </row>
    <row r="176" spans="1:9" x14ac:dyDescent="0.25">
      <c r="A176" t="s">
        <v>221</v>
      </c>
      <c r="B176" s="13" t="s">
        <v>221</v>
      </c>
      <c r="C176">
        <v>191</v>
      </c>
      <c r="D176" t="s">
        <v>221</v>
      </c>
      <c r="E176">
        <v>57.265999999999998</v>
      </c>
      <c r="F176">
        <v>16.451000000000001</v>
      </c>
      <c r="G176" t="s">
        <v>354</v>
      </c>
      <c r="H176">
        <v>4</v>
      </c>
      <c r="I176">
        <v>0.9</v>
      </c>
    </row>
    <row r="177" spans="1:9" x14ac:dyDescent="0.25">
      <c r="A177" t="s">
        <v>1603</v>
      </c>
      <c r="B177" s="13" t="s">
        <v>408</v>
      </c>
      <c r="C177">
        <v>198</v>
      </c>
      <c r="D177" t="s">
        <v>408</v>
      </c>
      <c r="E177">
        <v>58.673000000000002</v>
      </c>
      <c r="F177">
        <v>17.097999999999999</v>
      </c>
      <c r="G177" t="s">
        <v>364</v>
      </c>
      <c r="H177">
        <v>3</v>
      </c>
      <c r="I177">
        <v>1</v>
      </c>
    </row>
    <row r="178" spans="1:9" x14ac:dyDescent="0.25">
      <c r="A178" t="s">
        <v>229</v>
      </c>
      <c r="B178" s="13" t="s">
        <v>229</v>
      </c>
      <c r="C178">
        <v>200</v>
      </c>
      <c r="D178" t="s">
        <v>229</v>
      </c>
      <c r="E178">
        <v>67.213999999999999</v>
      </c>
      <c r="F178">
        <v>23.373000000000001</v>
      </c>
      <c r="G178" t="s">
        <v>340</v>
      </c>
      <c r="H178">
        <v>1</v>
      </c>
      <c r="I178">
        <v>1.7</v>
      </c>
    </row>
    <row r="179" spans="1:9" x14ac:dyDescent="0.25">
      <c r="A179" t="s">
        <v>230</v>
      </c>
      <c r="B179" s="13" t="s">
        <v>230</v>
      </c>
      <c r="C179">
        <v>201</v>
      </c>
      <c r="D179" t="s">
        <v>230</v>
      </c>
      <c r="E179">
        <v>57.738999999999997</v>
      </c>
      <c r="F179">
        <v>12.106</v>
      </c>
      <c r="G179" t="s">
        <v>342</v>
      </c>
      <c r="H179">
        <v>4</v>
      </c>
      <c r="I179">
        <v>0.9</v>
      </c>
    </row>
    <row r="180" spans="1:9" x14ac:dyDescent="0.25">
      <c r="A180" s="13" t="s">
        <v>1508</v>
      </c>
      <c r="B180" s="13" t="s">
        <v>410</v>
      </c>
      <c r="C180">
        <v>202</v>
      </c>
      <c r="D180" s="13" t="s">
        <v>410</v>
      </c>
      <c r="G180" s="12" t="s">
        <v>340</v>
      </c>
      <c r="H180">
        <v>1</v>
      </c>
      <c r="I180" s="12">
        <v>1.4</v>
      </c>
    </row>
    <row r="181" spans="1:9" x14ac:dyDescent="0.25">
      <c r="A181" s="13" t="s">
        <v>233</v>
      </c>
      <c r="B181" s="13" t="s">
        <v>233</v>
      </c>
      <c r="C181">
        <v>204</v>
      </c>
      <c r="D181" s="13" t="s">
        <v>233</v>
      </c>
      <c r="G181" s="12" t="s">
        <v>340</v>
      </c>
      <c r="H181">
        <v>1</v>
      </c>
      <c r="I181" s="12">
        <v>1.9</v>
      </c>
    </row>
    <row r="182" spans="1:9" x14ac:dyDescent="0.25">
      <c r="A182" t="s">
        <v>234</v>
      </c>
      <c r="B182" s="13" t="s">
        <v>234</v>
      </c>
      <c r="C182">
        <v>205</v>
      </c>
      <c r="D182" t="s">
        <v>234</v>
      </c>
      <c r="E182">
        <v>64.191999999999993</v>
      </c>
      <c r="F182">
        <v>20.853000000000002</v>
      </c>
      <c r="G182" t="s">
        <v>350</v>
      </c>
      <c r="H182">
        <v>1</v>
      </c>
      <c r="I182">
        <v>1.4</v>
      </c>
    </row>
    <row r="183" spans="1:9" x14ac:dyDescent="0.25">
      <c r="A183" t="s">
        <v>235</v>
      </c>
      <c r="B183" s="13" t="s">
        <v>235</v>
      </c>
      <c r="C183">
        <v>206</v>
      </c>
      <c r="D183" t="s">
        <v>235</v>
      </c>
      <c r="E183">
        <v>56.207999999999998</v>
      </c>
      <c r="F183">
        <v>15.278</v>
      </c>
      <c r="G183" t="s">
        <v>386</v>
      </c>
      <c r="H183">
        <v>4</v>
      </c>
      <c r="I183">
        <v>0.9</v>
      </c>
    </row>
    <row r="184" spans="1:9" x14ac:dyDescent="0.25">
      <c r="A184" t="s">
        <v>1541</v>
      </c>
      <c r="B184" s="13" t="s">
        <v>411</v>
      </c>
      <c r="C184">
        <v>203</v>
      </c>
      <c r="D184" t="s">
        <v>411</v>
      </c>
      <c r="E184">
        <v>60.884999999999998</v>
      </c>
      <c r="F184">
        <v>15.112</v>
      </c>
      <c r="G184" t="s">
        <v>349</v>
      </c>
      <c r="H184">
        <v>2</v>
      </c>
      <c r="I184">
        <v>1.2</v>
      </c>
    </row>
    <row r="185" spans="1:9" x14ac:dyDescent="0.25">
      <c r="A185" t="s">
        <v>237</v>
      </c>
      <c r="B185" s="13" t="s">
        <v>237</v>
      </c>
      <c r="C185">
        <v>208</v>
      </c>
      <c r="D185" t="s">
        <v>237</v>
      </c>
      <c r="E185">
        <v>59.917000000000002</v>
      </c>
      <c r="F185">
        <v>16.585999999999999</v>
      </c>
      <c r="G185" t="s">
        <v>346</v>
      </c>
      <c r="H185">
        <v>3</v>
      </c>
      <c r="I185">
        <v>1.1000000000000001</v>
      </c>
    </row>
    <row r="186" spans="1:9" x14ac:dyDescent="0.25">
      <c r="A186" t="s">
        <v>238</v>
      </c>
      <c r="B186" s="13" t="s">
        <v>238</v>
      </c>
      <c r="C186">
        <v>209</v>
      </c>
      <c r="D186" t="s">
        <v>238</v>
      </c>
      <c r="E186">
        <v>59.238999999999997</v>
      </c>
      <c r="F186">
        <v>17.690000000000001</v>
      </c>
      <c r="G186" t="s">
        <v>341</v>
      </c>
      <c r="H186">
        <v>3</v>
      </c>
      <c r="I186">
        <v>1</v>
      </c>
    </row>
    <row r="187" spans="1:9" x14ac:dyDescent="0.25">
      <c r="A187" t="s">
        <v>240</v>
      </c>
      <c r="B187" s="13" t="s">
        <v>240</v>
      </c>
      <c r="C187">
        <v>211</v>
      </c>
      <c r="D187" t="s">
        <v>240</v>
      </c>
      <c r="E187">
        <v>60.616999999999997</v>
      </c>
      <c r="F187">
        <v>16.78</v>
      </c>
      <c r="G187" t="s">
        <v>352</v>
      </c>
      <c r="H187">
        <v>2</v>
      </c>
      <c r="I187">
        <v>1.1000000000000001</v>
      </c>
    </row>
    <row r="188" spans="1:9" x14ac:dyDescent="0.25">
      <c r="A188" t="s">
        <v>245</v>
      </c>
      <c r="B188" s="13" t="s">
        <v>245</v>
      </c>
      <c r="C188">
        <v>216</v>
      </c>
      <c r="D188" t="s">
        <v>245</v>
      </c>
      <c r="E188">
        <v>59.616999999999997</v>
      </c>
      <c r="F188">
        <v>17.716999999999999</v>
      </c>
      <c r="G188" t="s">
        <v>341</v>
      </c>
      <c r="H188">
        <v>3</v>
      </c>
      <c r="I188">
        <v>1</v>
      </c>
    </row>
    <row r="189" spans="1:9" x14ac:dyDescent="0.25">
      <c r="A189" t="s">
        <v>246</v>
      </c>
      <c r="B189" s="13" t="s">
        <v>246</v>
      </c>
      <c r="C189">
        <v>217</v>
      </c>
      <c r="D189" t="s">
        <v>246</v>
      </c>
      <c r="E189">
        <v>55.557000000000002</v>
      </c>
      <c r="F189">
        <v>14.345000000000001</v>
      </c>
      <c r="G189" t="s">
        <v>351</v>
      </c>
      <c r="H189">
        <v>4</v>
      </c>
      <c r="I189">
        <v>0.9</v>
      </c>
    </row>
    <row r="190" spans="1:9" x14ac:dyDescent="0.25">
      <c r="A190" t="s">
        <v>1606</v>
      </c>
      <c r="B190" s="13" t="s">
        <v>247</v>
      </c>
      <c r="C190">
        <v>218</v>
      </c>
      <c r="D190" t="s">
        <v>247</v>
      </c>
      <c r="E190">
        <v>55.633000000000003</v>
      </c>
      <c r="F190">
        <v>13.708</v>
      </c>
      <c r="G190" t="s">
        <v>351</v>
      </c>
      <c r="H190">
        <v>4</v>
      </c>
      <c r="I190">
        <v>0.9</v>
      </c>
    </row>
    <row r="191" spans="1:9" x14ac:dyDescent="0.25">
      <c r="A191" t="s">
        <v>248</v>
      </c>
      <c r="B191" s="13" t="s">
        <v>248</v>
      </c>
      <c r="C191">
        <v>219</v>
      </c>
      <c r="D191" t="s">
        <v>248</v>
      </c>
      <c r="E191">
        <v>58.381999999999998</v>
      </c>
      <c r="F191">
        <v>13.44</v>
      </c>
      <c r="G191" t="s">
        <v>342</v>
      </c>
      <c r="H191">
        <v>3</v>
      </c>
      <c r="I191">
        <v>1</v>
      </c>
    </row>
    <row r="192" spans="1:9" x14ac:dyDescent="0.25">
      <c r="A192" t="s">
        <v>1509</v>
      </c>
      <c r="B192" s="13" t="s">
        <v>249</v>
      </c>
      <c r="C192">
        <v>220</v>
      </c>
      <c r="D192" t="s">
        <v>249</v>
      </c>
      <c r="E192">
        <v>64.754000000000005</v>
      </c>
      <c r="F192">
        <v>20.96</v>
      </c>
      <c r="G192" t="s">
        <v>350</v>
      </c>
      <c r="H192">
        <v>1</v>
      </c>
      <c r="I192">
        <v>1.4</v>
      </c>
    </row>
    <row r="193" spans="1:9" x14ac:dyDescent="0.25">
      <c r="A193" t="s">
        <v>250</v>
      </c>
      <c r="B193" s="13" t="s">
        <v>250</v>
      </c>
      <c r="C193">
        <v>221</v>
      </c>
      <c r="D193" t="s">
        <v>250</v>
      </c>
      <c r="E193">
        <v>59.832000000000001</v>
      </c>
      <c r="F193">
        <v>15.694000000000001</v>
      </c>
      <c r="G193" t="s">
        <v>346</v>
      </c>
      <c r="H193">
        <v>3</v>
      </c>
      <c r="I193">
        <v>1.1000000000000001</v>
      </c>
    </row>
    <row r="194" spans="1:9" x14ac:dyDescent="0.25">
      <c r="A194" t="s">
        <v>252</v>
      </c>
      <c r="B194" s="13" t="s">
        <v>252</v>
      </c>
      <c r="C194">
        <v>223</v>
      </c>
      <c r="D194" t="s">
        <v>252</v>
      </c>
      <c r="E194">
        <v>55.482999999999997</v>
      </c>
      <c r="F194">
        <v>13.5</v>
      </c>
      <c r="G194" t="s">
        <v>351</v>
      </c>
      <c r="H194">
        <v>4</v>
      </c>
      <c r="I194">
        <v>0.9</v>
      </c>
    </row>
    <row r="195" spans="1:9" x14ac:dyDescent="0.25">
      <c r="A195" s="13" t="s">
        <v>1547</v>
      </c>
      <c r="B195" s="13" t="s">
        <v>253</v>
      </c>
      <c r="C195">
        <v>224</v>
      </c>
      <c r="D195" s="13" t="s">
        <v>253</v>
      </c>
      <c r="G195" s="12" t="s">
        <v>361</v>
      </c>
      <c r="H195">
        <v>3</v>
      </c>
      <c r="I195" s="12">
        <v>1.1000000000000001</v>
      </c>
    </row>
    <row r="196" spans="1:9" x14ac:dyDescent="0.25">
      <c r="A196" t="s">
        <v>1607</v>
      </c>
      <c r="B196" s="13" t="s">
        <v>251</v>
      </c>
      <c r="C196">
        <v>222</v>
      </c>
      <c r="D196" t="s">
        <v>251</v>
      </c>
      <c r="E196">
        <v>58.398000000000003</v>
      </c>
      <c r="F196">
        <v>13.856999999999999</v>
      </c>
      <c r="G196" t="s">
        <v>342</v>
      </c>
      <c r="H196">
        <v>3</v>
      </c>
      <c r="I196">
        <v>1</v>
      </c>
    </row>
    <row r="197" spans="1:9" x14ac:dyDescent="0.25">
      <c r="A197" t="s">
        <v>254</v>
      </c>
      <c r="B197" s="13" t="s">
        <v>254</v>
      </c>
      <c r="C197">
        <v>225</v>
      </c>
      <c r="D197" t="s">
        <v>254</v>
      </c>
      <c r="E197">
        <v>60.142000000000003</v>
      </c>
      <c r="F197">
        <v>15.413</v>
      </c>
      <c r="G197" t="s">
        <v>349</v>
      </c>
      <c r="H197">
        <v>2</v>
      </c>
      <c r="I197">
        <v>1.2</v>
      </c>
    </row>
    <row r="198" spans="1:9" x14ac:dyDescent="0.25">
      <c r="A198" t="s">
        <v>1510</v>
      </c>
      <c r="B198" s="13" t="s">
        <v>258</v>
      </c>
      <c r="C198">
        <v>229</v>
      </c>
      <c r="D198" t="s">
        <v>258</v>
      </c>
      <c r="E198">
        <v>63.167000000000002</v>
      </c>
      <c r="F198">
        <v>17.279</v>
      </c>
      <c r="G198" t="s">
        <v>379</v>
      </c>
      <c r="H198">
        <v>2</v>
      </c>
      <c r="I198">
        <v>1.4</v>
      </c>
    </row>
    <row r="199" spans="1:9" x14ac:dyDescent="0.25">
      <c r="A199" t="s">
        <v>259</v>
      </c>
      <c r="B199" s="13" t="s">
        <v>259</v>
      </c>
      <c r="C199">
        <v>230</v>
      </c>
      <c r="D199" t="s">
        <v>259</v>
      </c>
      <c r="E199">
        <v>59.445</v>
      </c>
      <c r="F199">
        <v>17.942</v>
      </c>
      <c r="G199" t="s">
        <v>341</v>
      </c>
      <c r="H199">
        <v>3</v>
      </c>
      <c r="I199">
        <v>1</v>
      </c>
    </row>
    <row r="200" spans="1:9" x14ac:dyDescent="0.25">
      <c r="A200" t="s">
        <v>260</v>
      </c>
      <c r="B200" s="13" t="s">
        <v>260</v>
      </c>
      <c r="C200">
        <v>231</v>
      </c>
      <c r="D200" t="s">
        <v>260</v>
      </c>
      <c r="E200">
        <v>59.359000000000002</v>
      </c>
      <c r="F200">
        <v>18.001999999999999</v>
      </c>
      <c r="G200" t="s">
        <v>341</v>
      </c>
      <c r="H200">
        <v>3</v>
      </c>
      <c r="I200">
        <v>1</v>
      </c>
    </row>
    <row r="201" spans="1:9" x14ac:dyDescent="0.25">
      <c r="A201" t="s">
        <v>262</v>
      </c>
      <c r="B201" s="13" t="s">
        <v>262</v>
      </c>
      <c r="C201">
        <v>233</v>
      </c>
      <c r="D201" t="s">
        <v>262</v>
      </c>
      <c r="E201">
        <v>65.534999999999997</v>
      </c>
      <c r="F201">
        <v>17.533999999999999</v>
      </c>
      <c r="G201" t="s">
        <v>350</v>
      </c>
      <c r="H201">
        <v>1</v>
      </c>
      <c r="I201">
        <v>1.7</v>
      </c>
    </row>
    <row r="202" spans="1:9" x14ac:dyDescent="0.25">
      <c r="A202" t="s">
        <v>1548</v>
      </c>
      <c r="B202" s="13" t="s">
        <v>263</v>
      </c>
      <c r="C202">
        <v>234</v>
      </c>
      <c r="D202" t="s">
        <v>263</v>
      </c>
      <c r="E202">
        <v>58.357999999999997</v>
      </c>
      <c r="F202">
        <v>11.257999999999999</v>
      </c>
      <c r="G202" t="s">
        <v>342</v>
      </c>
      <c r="H202">
        <v>3</v>
      </c>
      <c r="I202">
        <v>0.9</v>
      </c>
    </row>
    <row r="203" spans="1:9" x14ac:dyDescent="0.25">
      <c r="A203" t="s">
        <v>264</v>
      </c>
      <c r="B203" s="13" t="s">
        <v>264</v>
      </c>
      <c r="C203">
        <v>235</v>
      </c>
      <c r="D203" t="s">
        <v>264</v>
      </c>
      <c r="E203">
        <v>55.65</v>
      </c>
      <c r="F203">
        <v>13.217000000000001</v>
      </c>
      <c r="G203" t="s">
        <v>351</v>
      </c>
      <c r="H203">
        <v>4</v>
      </c>
      <c r="I203">
        <v>0.9</v>
      </c>
    </row>
    <row r="204" spans="1:9" x14ac:dyDescent="0.25">
      <c r="A204" t="s">
        <v>265</v>
      </c>
      <c r="B204" s="13" t="s">
        <v>265</v>
      </c>
      <c r="C204">
        <v>236</v>
      </c>
      <c r="D204" t="s">
        <v>265</v>
      </c>
      <c r="E204">
        <v>58.073</v>
      </c>
      <c r="F204">
        <v>11.833</v>
      </c>
      <c r="G204" t="s">
        <v>342</v>
      </c>
      <c r="H204">
        <v>3</v>
      </c>
      <c r="I204">
        <v>0.9</v>
      </c>
    </row>
    <row r="205" spans="1:9" x14ac:dyDescent="0.25">
      <c r="A205" t="s">
        <v>267</v>
      </c>
      <c r="B205" s="13" t="s">
        <v>267</v>
      </c>
      <c r="C205">
        <v>238</v>
      </c>
      <c r="D205" t="s">
        <v>267</v>
      </c>
      <c r="E205">
        <v>59.283000000000001</v>
      </c>
      <c r="F205">
        <v>18.04</v>
      </c>
      <c r="G205" t="s">
        <v>341</v>
      </c>
      <c r="H205">
        <v>3</v>
      </c>
      <c r="I205">
        <v>1</v>
      </c>
    </row>
    <row r="206" spans="1:9" x14ac:dyDescent="0.25">
      <c r="A206" t="s">
        <v>266</v>
      </c>
      <c r="B206" s="13" t="s">
        <v>266</v>
      </c>
      <c r="C206">
        <v>237</v>
      </c>
      <c r="D206" t="s">
        <v>266</v>
      </c>
      <c r="E206">
        <v>59.353999999999999</v>
      </c>
      <c r="F206">
        <v>17.951000000000001</v>
      </c>
      <c r="G206" t="s">
        <v>341</v>
      </c>
      <c r="H206">
        <v>3</v>
      </c>
      <c r="I206">
        <v>1</v>
      </c>
    </row>
    <row r="207" spans="1:9" x14ac:dyDescent="0.25">
      <c r="A207" t="s">
        <v>268</v>
      </c>
      <c r="B207" s="13" t="s">
        <v>268</v>
      </c>
      <c r="C207">
        <v>239</v>
      </c>
      <c r="D207" t="s">
        <v>268</v>
      </c>
      <c r="E207">
        <v>59.533000000000001</v>
      </c>
      <c r="F207">
        <v>14.266999999999999</v>
      </c>
      <c r="G207" t="s">
        <v>347</v>
      </c>
      <c r="H207">
        <v>2</v>
      </c>
      <c r="I207">
        <v>1.1000000000000001</v>
      </c>
    </row>
    <row r="208" spans="1:9" x14ac:dyDescent="0.25">
      <c r="A208" t="s">
        <v>269</v>
      </c>
      <c r="B208" s="13" t="s">
        <v>269</v>
      </c>
      <c r="C208">
        <v>240</v>
      </c>
      <c r="D208" t="s">
        <v>269</v>
      </c>
      <c r="G208" s="12" t="s">
        <v>357</v>
      </c>
      <c r="H208">
        <v>1</v>
      </c>
      <c r="I208" s="12">
        <v>1.6</v>
      </c>
    </row>
    <row r="209" spans="1:9" x14ac:dyDescent="0.25">
      <c r="A209" t="s">
        <v>270</v>
      </c>
      <c r="B209" s="13" t="s">
        <v>270</v>
      </c>
      <c r="C209">
        <v>241</v>
      </c>
      <c r="D209" t="s">
        <v>270</v>
      </c>
      <c r="E209">
        <v>65.102000000000004</v>
      </c>
      <c r="F209">
        <v>17.114000000000001</v>
      </c>
      <c r="G209" t="s">
        <v>350</v>
      </c>
      <c r="H209">
        <v>1</v>
      </c>
      <c r="I209">
        <v>1.8</v>
      </c>
    </row>
    <row r="210" spans="1:9" x14ac:dyDescent="0.25">
      <c r="A210" t="s">
        <v>1549</v>
      </c>
      <c r="B210" s="13" t="s">
        <v>271</v>
      </c>
      <c r="C210">
        <v>242</v>
      </c>
      <c r="D210" t="s">
        <v>271</v>
      </c>
      <c r="E210">
        <v>59.374000000000002</v>
      </c>
      <c r="F210">
        <v>17.023</v>
      </c>
      <c r="G210" t="s">
        <v>364</v>
      </c>
      <c r="H210">
        <v>3</v>
      </c>
      <c r="I210">
        <v>1</v>
      </c>
    </row>
    <row r="211" spans="1:9" x14ac:dyDescent="0.25">
      <c r="A211" t="s">
        <v>1612</v>
      </c>
      <c r="B211" s="13" t="s">
        <v>272</v>
      </c>
      <c r="C211">
        <v>243</v>
      </c>
      <c r="D211" t="s">
        <v>272</v>
      </c>
      <c r="E211">
        <v>58.94</v>
      </c>
      <c r="F211">
        <v>11.185</v>
      </c>
      <c r="G211" t="s">
        <v>342</v>
      </c>
      <c r="H211">
        <v>3</v>
      </c>
      <c r="I211">
        <v>0.9</v>
      </c>
    </row>
    <row r="212" spans="1:9" x14ac:dyDescent="0.25">
      <c r="A212" t="s">
        <v>1613</v>
      </c>
      <c r="B212" s="13" t="s">
        <v>273</v>
      </c>
      <c r="C212">
        <v>244</v>
      </c>
      <c r="D212" t="s">
        <v>273</v>
      </c>
      <c r="E212">
        <v>63.853000000000002</v>
      </c>
      <c r="F212">
        <v>15.565</v>
      </c>
      <c r="G212" t="s">
        <v>357</v>
      </c>
      <c r="H212">
        <v>1</v>
      </c>
      <c r="I212">
        <v>1.5</v>
      </c>
    </row>
    <row r="213" spans="1:9" x14ac:dyDescent="0.25">
      <c r="A213" t="s">
        <v>274</v>
      </c>
      <c r="B213" s="13" t="s">
        <v>274</v>
      </c>
      <c r="C213">
        <v>245</v>
      </c>
      <c r="D213" t="s">
        <v>274</v>
      </c>
      <c r="E213">
        <v>59.377000000000002</v>
      </c>
      <c r="F213">
        <v>17.960999999999999</v>
      </c>
      <c r="G213" t="s">
        <v>341</v>
      </c>
      <c r="H213">
        <v>3</v>
      </c>
      <c r="I213">
        <v>1</v>
      </c>
    </row>
    <row r="214" spans="1:9" x14ac:dyDescent="0.25">
      <c r="A214" t="s">
        <v>275</v>
      </c>
      <c r="B214" s="13" t="s">
        <v>275</v>
      </c>
      <c r="C214">
        <v>246</v>
      </c>
      <c r="D214" t="s">
        <v>275</v>
      </c>
      <c r="E214">
        <v>62.387999999999998</v>
      </c>
      <c r="F214">
        <v>17.311</v>
      </c>
      <c r="G214" t="s">
        <v>379</v>
      </c>
      <c r="H214">
        <v>2</v>
      </c>
      <c r="I214">
        <v>1.3</v>
      </c>
    </row>
    <row r="215" spans="1:9" x14ac:dyDescent="0.25">
      <c r="A215" t="s">
        <v>276</v>
      </c>
      <c r="B215" s="13" t="s">
        <v>276</v>
      </c>
      <c r="C215">
        <v>247</v>
      </c>
      <c r="D215" t="s">
        <v>276</v>
      </c>
      <c r="E215">
        <v>59.838999999999999</v>
      </c>
      <c r="F215">
        <v>13.147</v>
      </c>
      <c r="G215" t="s">
        <v>347</v>
      </c>
      <c r="H215">
        <v>2</v>
      </c>
      <c r="I215">
        <v>1.1000000000000001</v>
      </c>
    </row>
    <row r="216" spans="1:9" x14ac:dyDescent="0.25">
      <c r="A216" t="s">
        <v>277</v>
      </c>
      <c r="B216" s="13" t="s">
        <v>277</v>
      </c>
      <c r="C216">
        <v>248</v>
      </c>
      <c r="D216" t="s">
        <v>277</v>
      </c>
      <c r="E216">
        <v>59.707000000000001</v>
      </c>
      <c r="F216">
        <v>16.222000000000001</v>
      </c>
      <c r="G216" t="s">
        <v>346</v>
      </c>
      <c r="H216">
        <v>3</v>
      </c>
      <c r="I216">
        <v>1</v>
      </c>
    </row>
    <row r="217" spans="1:9" x14ac:dyDescent="0.25">
      <c r="A217" t="s">
        <v>1614</v>
      </c>
      <c r="B217" s="13" t="s">
        <v>278</v>
      </c>
      <c r="C217">
        <v>249</v>
      </c>
      <c r="D217" t="s">
        <v>278</v>
      </c>
      <c r="E217">
        <v>55.911000000000001</v>
      </c>
      <c r="F217">
        <v>13.109</v>
      </c>
      <c r="G217" t="s">
        <v>351</v>
      </c>
      <c r="H217">
        <v>4</v>
      </c>
      <c r="I217">
        <v>0.9</v>
      </c>
    </row>
    <row r="218" spans="1:9" x14ac:dyDescent="0.25">
      <c r="A218" t="s">
        <v>279</v>
      </c>
      <c r="B218" s="13" t="s">
        <v>279</v>
      </c>
      <c r="C218">
        <v>250</v>
      </c>
      <c r="D218" t="s">
        <v>279</v>
      </c>
      <c r="E218">
        <v>55.511000000000003</v>
      </c>
      <c r="F218">
        <v>13.243</v>
      </c>
      <c r="G218" t="s">
        <v>351</v>
      </c>
      <c r="H218">
        <v>4</v>
      </c>
      <c r="I218">
        <v>0.9</v>
      </c>
    </row>
    <row r="219" spans="1:9" x14ac:dyDescent="0.25">
      <c r="A219" s="13" t="s">
        <v>280</v>
      </c>
      <c r="B219" s="13" t="s">
        <v>280</v>
      </c>
      <c r="C219">
        <v>251</v>
      </c>
      <c r="D219" s="13" t="s">
        <v>280</v>
      </c>
      <c r="G219" s="12" t="s">
        <v>357</v>
      </c>
      <c r="H219">
        <v>1</v>
      </c>
      <c r="I219" s="12">
        <v>1.5</v>
      </c>
    </row>
    <row r="220" spans="1:9" x14ac:dyDescent="0.25">
      <c r="A220" t="s">
        <v>281</v>
      </c>
      <c r="B220" s="13" t="s">
        <v>281</v>
      </c>
      <c r="C220">
        <v>252</v>
      </c>
      <c r="D220" t="s">
        <v>281</v>
      </c>
      <c r="E220">
        <v>57.5</v>
      </c>
      <c r="F220">
        <v>13.117000000000001</v>
      </c>
      <c r="G220" t="s">
        <v>342</v>
      </c>
      <c r="H220">
        <v>3</v>
      </c>
      <c r="I220">
        <v>1</v>
      </c>
    </row>
    <row r="221" spans="1:9" x14ac:dyDescent="0.25">
      <c r="A221" t="s">
        <v>282</v>
      </c>
      <c r="B221" s="13" t="s">
        <v>282</v>
      </c>
      <c r="C221">
        <v>253</v>
      </c>
      <c r="D221" t="s">
        <v>282</v>
      </c>
      <c r="G221" s="12" t="s">
        <v>357</v>
      </c>
      <c r="H221">
        <v>1</v>
      </c>
      <c r="I221" s="12">
        <v>1.5</v>
      </c>
    </row>
    <row r="222" spans="1:9" x14ac:dyDescent="0.25">
      <c r="A222" t="s">
        <v>1545</v>
      </c>
      <c r="B222" s="13" t="s">
        <v>242</v>
      </c>
      <c r="C222">
        <v>213</v>
      </c>
      <c r="D222" t="s">
        <v>242</v>
      </c>
      <c r="E222">
        <v>58.436</v>
      </c>
      <c r="F222">
        <v>12.708</v>
      </c>
      <c r="G222" t="s">
        <v>342</v>
      </c>
      <c r="H222">
        <v>3</v>
      </c>
      <c r="I222">
        <v>1</v>
      </c>
    </row>
    <row r="223" spans="1:9" x14ac:dyDescent="0.25">
      <c r="A223" t="s">
        <v>1542</v>
      </c>
      <c r="B223" s="13" t="s">
        <v>236</v>
      </c>
      <c r="C223">
        <v>207</v>
      </c>
      <c r="D223" t="s">
        <v>236</v>
      </c>
      <c r="E223">
        <v>59.134999999999998</v>
      </c>
      <c r="F223">
        <v>12.923</v>
      </c>
      <c r="G223" t="s">
        <v>347</v>
      </c>
      <c r="H223">
        <v>2</v>
      </c>
      <c r="I223">
        <v>1</v>
      </c>
    </row>
    <row r="224" spans="1:9" x14ac:dyDescent="0.25">
      <c r="A224" t="s">
        <v>1543</v>
      </c>
      <c r="B224" s="14" t="s">
        <v>1216</v>
      </c>
      <c r="C224">
        <v>210</v>
      </c>
      <c r="D224" t="s">
        <v>1216</v>
      </c>
      <c r="G224" s="12" t="s">
        <v>349</v>
      </c>
      <c r="H224" s="12">
        <v>2</v>
      </c>
      <c r="I224" s="12">
        <v>1.4</v>
      </c>
    </row>
    <row r="225" spans="1:9" x14ac:dyDescent="0.25">
      <c r="A225" t="s">
        <v>1544</v>
      </c>
      <c r="B225" s="13" t="s">
        <v>241</v>
      </c>
      <c r="C225">
        <v>212</v>
      </c>
      <c r="D225" t="s">
        <v>241</v>
      </c>
      <c r="G225" s="12" t="s">
        <v>349</v>
      </c>
      <c r="H225" s="12">
        <v>2</v>
      </c>
      <c r="I225" s="12">
        <v>1.4</v>
      </c>
    </row>
    <row r="226" spans="1:9" x14ac:dyDescent="0.25">
      <c r="A226" t="s">
        <v>1546</v>
      </c>
      <c r="B226" s="13" t="s">
        <v>243</v>
      </c>
      <c r="C226">
        <v>214</v>
      </c>
      <c r="D226" t="s">
        <v>243</v>
      </c>
      <c r="E226">
        <v>60.345999999999997</v>
      </c>
      <c r="F226">
        <v>15.743</v>
      </c>
      <c r="G226" t="s">
        <v>349</v>
      </c>
      <c r="H226">
        <v>2</v>
      </c>
      <c r="I226">
        <v>1.1000000000000001</v>
      </c>
    </row>
    <row r="227" spans="1:9" x14ac:dyDescent="0.25">
      <c r="A227" t="s">
        <v>1605</v>
      </c>
      <c r="B227" s="13" t="s">
        <v>244</v>
      </c>
      <c r="C227">
        <v>215</v>
      </c>
      <c r="D227" t="s">
        <v>244</v>
      </c>
      <c r="E227">
        <v>57.398000000000003</v>
      </c>
      <c r="F227">
        <v>14.664999999999999</v>
      </c>
      <c r="G227" t="s">
        <v>345</v>
      </c>
      <c r="H227">
        <v>3</v>
      </c>
      <c r="I227">
        <v>1.1000000000000001</v>
      </c>
    </row>
    <row r="228" spans="1:9" x14ac:dyDescent="0.25">
      <c r="A228" t="s">
        <v>1608</v>
      </c>
      <c r="B228" s="13" t="s">
        <v>255</v>
      </c>
      <c r="C228">
        <v>226</v>
      </c>
      <c r="D228" t="s">
        <v>255</v>
      </c>
      <c r="E228">
        <v>61.305</v>
      </c>
      <c r="F228">
        <v>17.077999999999999</v>
      </c>
      <c r="G228" t="s">
        <v>352</v>
      </c>
      <c r="H228">
        <v>2</v>
      </c>
      <c r="I228">
        <v>1.2</v>
      </c>
    </row>
    <row r="229" spans="1:9" x14ac:dyDescent="0.25">
      <c r="A229" t="s">
        <v>1609</v>
      </c>
      <c r="B229" s="13" t="s">
        <v>256</v>
      </c>
      <c r="C229">
        <v>227</v>
      </c>
      <c r="D229" t="s">
        <v>256</v>
      </c>
      <c r="E229">
        <v>58.472000000000001</v>
      </c>
      <c r="F229">
        <v>16.341000000000001</v>
      </c>
      <c r="G229" t="s">
        <v>368</v>
      </c>
      <c r="H229">
        <v>3</v>
      </c>
      <c r="I229">
        <v>1</v>
      </c>
    </row>
    <row r="230" spans="1:9" x14ac:dyDescent="0.25">
      <c r="A230" t="s">
        <v>1610</v>
      </c>
      <c r="B230" s="13" t="s">
        <v>257</v>
      </c>
      <c r="C230">
        <v>228</v>
      </c>
      <c r="D230" t="s">
        <v>257</v>
      </c>
      <c r="E230">
        <v>59.192999999999998</v>
      </c>
      <c r="F230">
        <v>17.632999999999999</v>
      </c>
      <c r="G230" t="s">
        <v>341</v>
      </c>
      <c r="H230">
        <v>3</v>
      </c>
      <c r="I230">
        <v>1</v>
      </c>
    </row>
    <row r="231" spans="1:9" x14ac:dyDescent="0.25">
      <c r="A231" t="s">
        <v>1611</v>
      </c>
      <c r="B231" s="13" t="s">
        <v>261</v>
      </c>
      <c r="C231">
        <v>232</v>
      </c>
      <c r="D231" t="s">
        <v>261</v>
      </c>
      <c r="E231">
        <v>56.05</v>
      </c>
      <c r="F231">
        <v>14.595000000000001</v>
      </c>
      <c r="G231" t="s">
        <v>386</v>
      </c>
      <c r="H231">
        <v>4</v>
      </c>
      <c r="I231">
        <v>0.9</v>
      </c>
    </row>
    <row r="232" spans="1:9" x14ac:dyDescent="0.25">
      <c r="A232" t="s">
        <v>285</v>
      </c>
      <c r="B232" s="13" t="s">
        <v>285</v>
      </c>
      <c r="C232">
        <v>256</v>
      </c>
      <c r="D232" t="s">
        <v>285</v>
      </c>
      <c r="E232">
        <v>58.732999999999997</v>
      </c>
      <c r="F232">
        <v>11.333</v>
      </c>
      <c r="G232" t="s">
        <v>342</v>
      </c>
      <c r="H232">
        <v>3</v>
      </c>
      <c r="I232">
        <v>0.9</v>
      </c>
    </row>
    <row r="233" spans="1:9" x14ac:dyDescent="0.25">
      <c r="A233" t="s">
        <v>287</v>
      </c>
      <c r="B233" s="13" t="s">
        <v>287</v>
      </c>
      <c r="C233">
        <v>258</v>
      </c>
      <c r="D233" t="s">
        <v>287</v>
      </c>
      <c r="E233">
        <v>58.417000000000002</v>
      </c>
      <c r="F233">
        <v>14.167</v>
      </c>
      <c r="G233" t="s">
        <v>342</v>
      </c>
      <c r="H233">
        <v>3</v>
      </c>
      <c r="I233">
        <v>1</v>
      </c>
    </row>
    <row r="234" spans="1:9" x14ac:dyDescent="0.25">
      <c r="A234" t="s">
        <v>288</v>
      </c>
      <c r="B234" s="13" t="s">
        <v>288</v>
      </c>
      <c r="C234">
        <v>259</v>
      </c>
      <c r="D234" t="s">
        <v>288</v>
      </c>
      <c r="E234">
        <v>58.183</v>
      </c>
      <c r="F234">
        <v>13.95</v>
      </c>
      <c r="G234" t="s">
        <v>342</v>
      </c>
      <c r="H234">
        <v>3</v>
      </c>
      <c r="I234">
        <v>1</v>
      </c>
    </row>
    <row r="235" spans="1:9" x14ac:dyDescent="0.25">
      <c r="A235" t="s">
        <v>289</v>
      </c>
      <c r="B235" s="13" t="s">
        <v>289</v>
      </c>
      <c r="C235">
        <v>260</v>
      </c>
      <c r="D235" t="s">
        <v>289</v>
      </c>
      <c r="E235">
        <v>60.348999999999997</v>
      </c>
      <c r="F235">
        <v>17.521000000000001</v>
      </c>
      <c r="G235" t="s">
        <v>361</v>
      </c>
      <c r="H235">
        <v>3</v>
      </c>
      <c r="I235">
        <v>1.1000000000000001</v>
      </c>
    </row>
    <row r="236" spans="1:9" x14ac:dyDescent="0.25">
      <c r="A236" t="s">
        <v>1511</v>
      </c>
      <c r="B236" s="13" t="s">
        <v>290</v>
      </c>
      <c r="C236">
        <v>261</v>
      </c>
      <c r="D236" t="s">
        <v>290</v>
      </c>
      <c r="E236">
        <v>62.5</v>
      </c>
      <c r="F236">
        <v>17.332999999999998</v>
      </c>
      <c r="G236" t="s">
        <v>379</v>
      </c>
      <c r="H236">
        <v>2</v>
      </c>
      <c r="I236">
        <v>1.3</v>
      </c>
    </row>
    <row r="237" spans="1:9" x14ac:dyDescent="0.25">
      <c r="A237" t="s">
        <v>291</v>
      </c>
      <c r="B237" s="13" t="s">
        <v>291</v>
      </c>
      <c r="C237">
        <v>262</v>
      </c>
      <c r="D237" t="s">
        <v>291</v>
      </c>
      <c r="E237">
        <v>56.527999999999999</v>
      </c>
      <c r="F237">
        <v>14.97</v>
      </c>
      <c r="G237" t="s">
        <v>343</v>
      </c>
      <c r="H237">
        <v>3</v>
      </c>
      <c r="I237">
        <v>1</v>
      </c>
    </row>
    <row r="238" spans="1:9" x14ac:dyDescent="0.25">
      <c r="A238" t="s">
        <v>1616</v>
      </c>
      <c r="B238" s="13" t="s">
        <v>292</v>
      </c>
      <c r="C238">
        <v>263</v>
      </c>
      <c r="D238" t="s">
        <v>292</v>
      </c>
      <c r="E238" t="s">
        <v>416</v>
      </c>
      <c r="F238">
        <v>11.55</v>
      </c>
      <c r="G238" t="s">
        <v>342</v>
      </c>
      <c r="H238">
        <v>3</v>
      </c>
      <c r="I238">
        <v>0.9</v>
      </c>
    </row>
    <row r="239" spans="1:9" x14ac:dyDescent="0.25">
      <c r="A239" t="s">
        <v>293</v>
      </c>
      <c r="B239" s="13" t="s">
        <v>293</v>
      </c>
      <c r="C239">
        <v>264</v>
      </c>
      <c r="D239" t="s">
        <v>293</v>
      </c>
      <c r="E239">
        <v>55.55</v>
      </c>
      <c r="F239">
        <v>13.944000000000001</v>
      </c>
      <c r="G239" t="s">
        <v>351</v>
      </c>
      <c r="H239">
        <v>4</v>
      </c>
      <c r="I239">
        <v>0.9</v>
      </c>
    </row>
    <row r="240" spans="1:9" x14ac:dyDescent="0.25">
      <c r="A240" t="s">
        <v>296</v>
      </c>
      <c r="B240" s="13" t="s">
        <v>296</v>
      </c>
      <c r="C240">
        <v>267</v>
      </c>
      <c r="D240" t="s">
        <v>296</v>
      </c>
      <c r="E240">
        <v>60.133000000000003</v>
      </c>
      <c r="F240">
        <v>13.007</v>
      </c>
      <c r="G240" t="s">
        <v>347</v>
      </c>
      <c r="H240">
        <v>2</v>
      </c>
      <c r="I240">
        <v>1.2</v>
      </c>
    </row>
    <row r="241" spans="1:9" x14ac:dyDescent="0.25">
      <c r="A241" t="s">
        <v>1512</v>
      </c>
      <c r="B241" s="13" t="s">
        <v>295</v>
      </c>
      <c r="C241">
        <v>266</v>
      </c>
      <c r="D241" t="s">
        <v>295</v>
      </c>
      <c r="E241">
        <v>56.411000000000001</v>
      </c>
      <c r="F241">
        <v>16.003</v>
      </c>
      <c r="G241" t="s">
        <v>354</v>
      </c>
      <c r="H241">
        <v>4</v>
      </c>
      <c r="I241">
        <v>0.9</v>
      </c>
    </row>
    <row r="242" spans="1:9" x14ac:dyDescent="0.25">
      <c r="A242" t="s">
        <v>298</v>
      </c>
      <c r="B242" s="13" t="s">
        <v>298</v>
      </c>
      <c r="C242">
        <v>269</v>
      </c>
      <c r="D242" t="s">
        <v>298</v>
      </c>
      <c r="E242">
        <v>57.482999999999997</v>
      </c>
      <c r="F242">
        <v>13.35</v>
      </c>
      <c r="G242" t="s">
        <v>342</v>
      </c>
      <c r="H242">
        <v>3</v>
      </c>
      <c r="I242">
        <v>1.1000000000000001</v>
      </c>
    </row>
    <row r="243" spans="1:9" x14ac:dyDescent="0.25">
      <c r="A243" t="s">
        <v>1513</v>
      </c>
      <c r="B243" s="13" t="s">
        <v>297</v>
      </c>
      <c r="C243">
        <v>268</v>
      </c>
      <c r="D243" t="s">
        <v>297</v>
      </c>
      <c r="E243">
        <v>58.033999999999999</v>
      </c>
      <c r="F243">
        <v>14.978999999999999</v>
      </c>
      <c r="G243" t="s">
        <v>345</v>
      </c>
      <c r="H243">
        <v>3</v>
      </c>
      <c r="I243">
        <v>1</v>
      </c>
    </row>
    <row r="244" spans="1:9" x14ac:dyDescent="0.25">
      <c r="A244" t="s">
        <v>299</v>
      </c>
      <c r="B244" s="13" t="s">
        <v>299</v>
      </c>
      <c r="C244">
        <v>270</v>
      </c>
      <c r="D244" t="s">
        <v>299</v>
      </c>
      <c r="E244">
        <v>55.375999999999998</v>
      </c>
      <c r="F244">
        <v>13.169</v>
      </c>
      <c r="G244" t="s">
        <v>351</v>
      </c>
      <c r="H244">
        <v>4</v>
      </c>
      <c r="I244">
        <v>0.9</v>
      </c>
    </row>
    <row r="245" spans="1:9" x14ac:dyDescent="0.25">
      <c r="A245" t="s">
        <v>1552</v>
      </c>
      <c r="B245" s="13" t="s">
        <v>300</v>
      </c>
      <c r="C245">
        <v>271</v>
      </c>
      <c r="D245" t="s">
        <v>300</v>
      </c>
      <c r="E245">
        <v>58.280999999999999</v>
      </c>
      <c r="F245">
        <v>12.297000000000001</v>
      </c>
      <c r="G245" t="s">
        <v>342</v>
      </c>
      <c r="H245">
        <v>3</v>
      </c>
      <c r="I245">
        <v>1</v>
      </c>
    </row>
    <row r="246" spans="1:9" x14ac:dyDescent="0.25">
      <c r="A246" t="s">
        <v>301</v>
      </c>
      <c r="B246" s="13" t="s">
        <v>301</v>
      </c>
      <c r="C246">
        <v>272</v>
      </c>
      <c r="D246" t="s">
        <v>301</v>
      </c>
      <c r="E246">
        <v>58.9</v>
      </c>
      <c r="F246">
        <v>17.555</v>
      </c>
      <c r="G246" t="s">
        <v>364</v>
      </c>
      <c r="H246">
        <v>3</v>
      </c>
      <c r="I246">
        <v>1</v>
      </c>
    </row>
    <row r="247" spans="1:9" x14ac:dyDescent="0.25">
      <c r="A247" t="s">
        <v>1618</v>
      </c>
      <c r="B247" s="13" t="s">
        <v>302</v>
      </c>
      <c r="C247">
        <v>273</v>
      </c>
      <c r="D247" t="s">
        <v>302</v>
      </c>
      <c r="E247">
        <v>59.249000000000002</v>
      </c>
      <c r="F247">
        <v>18.277000000000001</v>
      </c>
      <c r="G247" t="s">
        <v>341</v>
      </c>
      <c r="H247">
        <v>3</v>
      </c>
      <c r="I247">
        <v>1</v>
      </c>
    </row>
    <row r="248" spans="1:9" x14ac:dyDescent="0.25">
      <c r="A248" t="s">
        <v>1550</v>
      </c>
      <c r="B248" s="13" t="s">
        <v>283</v>
      </c>
      <c r="C248">
        <v>254</v>
      </c>
      <c r="D248" t="s">
        <v>283</v>
      </c>
      <c r="E248">
        <v>59.447000000000003</v>
      </c>
      <c r="F248">
        <v>18.087</v>
      </c>
      <c r="G248" t="s">
        <v>341</v>
      </c>
      <c r="H248">
        <v>3</v>
      </c>
      <c r="I248">
        <v>1</v>
      </c>
    </row>
    <row r="249" spans="1:9" x14ac:dyDescent="0.25">
      <c r="A249" s="13" t="s">
        <v>1551</v>
      </c>
      <c r="B249" s="14" t="s">
        <v>419</v>
      </c>
      <c r="C249">
        <v>255</v>
      </c>
      <c r="D249" s="13" t="s">
        <v>419</v>
      </c>
      <c r="G249" s="12" t="s">
        <v>357</v>
      </c>
      <c r="H249">
        <v>1</v>
      </c>
      <c r="I249" s="12">
        <v>1.5</v>
      </c>
    </row>
    <row r="250" spans="1:9" x14ac:dyDescent="0.25">
      <c r="A250" t="s">
        <v>1615</v>
      </c>
      <c r="B250" s="13" t="s">
        <v>286</v>
      </c>
      <c r="C250">
        <v>257</v>
      </c>
      <c r="D250" t="s">
        <v>286</v>
      </c>
      <c r="E250">
        <v>60.16</v>
      </c>
      <c r="F250">
        <v>16.920000000000002</v>
      </c>
      <c r="G250" t="s">
        <v>361</v>
      </c>
      <c r="H250">
        <v>3</v>
      </c>
      <c r="I250" s="12">
        <v>1.1000000000000001</v>
      </c>
    </row>
    <row r="251" spans="1:9" x14ac:dyDescent="0.25">
      <c r="A251" t="s">
        <v>1617</v>
      </c>
      <c r="B251" s="13" t="s">
        <v>294</v>
      </c>
      <c r="C251">
        <v>265</v>
      </c>
      <c r="D251" t="s">
        <v>294</v>
      </c>
      <c r="E251">
        <v>58.716999999999999</v>
      </c>
      <c r="F251">
        <v>14.132999999999999</v>
      </c>
      <c r="G251" t="s">
        <v>342</v>
      </c>
      <c r="H251">
        <v>3</v>
      </c>
      <c r="I251">
        <v>1</v>
      </c>
    </row>
    <row r="252" spans="1:9" x14ac:dyDescent="0.25">
      <c r="A252" t="s">
        <v>303</v>
      </c>
      <c r="B252" s="13" t="s">
        <v>303</v>
      </c>
      <c r="C252">
        <v>274</v>
      </c>
      <c r="D252" t="s">
        <v>303</v>
      </c>
      <c r="E252">
        <v>58.347000000000001</v>
      </c>
      <c r="F252">
        <v>11.798999999999999</v>
      </c>
      <c r="G252" t="s">
        <v>342</v>
      </c>
      <c r="H252">
        <v>3</v>
      </c>
      <c r="I252">
        <v>0.9</v>
      </c>
    </row>
    <row r="253" spans="1:9" x14ac:dyDescent="0.25">
      <c r="A253" t="s">
        <v>304</v>
      </c>
      <c r="B253" s="13" t="s">
        <v>304</v>
      </c>
      <c r="C253">
        <v>275</v>
      </c>
      <c r="D253" t="s">
        <v>304</v>
      </c>
      <c r="G253" s="12" t="s">
        <v>365</v>
      </c>
      <c r="H253">
        <v>4</v>
      </c>
      <c r="I253" s="12">
        <v>0.9</v>
      </c>
    </row>
    <row r="254" spans="1:9" x14ac:dyDescent="0.25">
      <c r="A254" t="s">
        <v>305</v>
      </c>
      <c r="B254" s="13" t="s">
        <v>305</v>
      </c>
      <c r="C254">
        <v>276</v>
      </c>
      <c r="D254" t="s">
        <v>305</v>
      </c>
      <c r="E254">
        <v>57.795999999999999</v>
      </c>
      <c r="F254">
        <v>13.413</v>
      </c>
      <c r="G254" t="s">
        <v>342</v>
      </c>
      <c r="H254">
        <v>3</v>
      </c>
      <c r="I254">
        <v>1.1000000000000001</v>
      </c>
    </row>
    <row r="255" spans="1:9" x14ac:dyDescent="0.25">
      <c r="A255" t="s">
        <v>1514</v>
      </c>
      <c r="B255" s="13" t="s">
        <v>306</v>
      </c>
      <c r="C255">
        <v>277</v>
      </c>
      <c r="D255" t="s">
        <v>306</v>
      </c>
      <c r="E255">
        <v>63.826000000000001</v>
      </c>
      <c r="F255">
        <v>20.260999999999999</v>
      </c>
      <c r="G255" t="s">
        <v>350</v>
      </c>
      <c r="H255">
        <v>1</v>
      </c>
      <c r="I255">
        <v>1.3</v>
      </c>
    </row>
    <row r="256" spans="1:9" x14ac:dyDescent="0.25">
      <c r="A256" t="s">
        <v>307</v>
      </c>
      <c r="B256" s="13" t="s">
        <v>307</v>
      </c>
      <c r="C256">
        <v>278</v>
      </c>
      <c r="D256" t="s">
        <v>307</v>
      </c>
      <c r="E256">
        <v>59.518999999999998</v>
      </c>
      <c r="F256">
        <v>17.64</v>
      </c>
      <c r="G256" t="s">
        <v>341</v>
      </c>
      <c r="H256">
        <v>3</v>
      </c>
      <c r="I256">
        <v>1</v>
      </c>
    </row>
    <row r="257" spans="1:9" x14ac:dyDescent="0.25">
      <c r="A257" t="s">
        <v>1553</v>
      </c>
      <c r="B257" s="13" t="s">
        <v>308</v>
      </c>
      <c r="C257">
        <v>279</v>
      </c>
      <c r="D257" t="s">
        <v>308</v>
      </c>
      <c r="E257">
        <v>59.517000000000003</v>
      </c>
      <c r="F257">
        <v>17.917000000000002</v>
      </c>
      <c r="G257" t="s">
        <v>341</v>
      </c>
      <c r="H257">
        <v>3</v>
      </c>
      <c r="I257">
        <v>1</v>
      </c>
    </row>
    <row r="258" spans="1:9" x14ac:dyDescent="0.25">
      <c r="A258" t="s">
        <v>309</v>
      </c>
      <c r="B258" s="13" t="s">
        <v>309</v>
      </c>
      <c r="C258">
        <v>280</v>
      </c>
      <c r="D258" t="s">
        <v>309</v>
      </c>
      <c r="E258">
        <v>59.84</v>
      </c>
      <c r="F258">
        <v>17.640999999999998</v>
      </c>
      <c r="G258" t="s">
        <v>361</v>
      </c>
      <c r="H258">
        <v>3</v>
      </c>
      <c r="I258">
        <v>1</v>
      </c>
    </row>
    <row r="259" spans="1:9" x14ac:dyDescent="0.25">
      <c r="A259" t="s">
        <v>310</v>
      </c>
      <c r="B259" s="13" t="s">
        <v>310</v>
      </c>
      <c r="C259">
        <v>281</v>
      </c>
      <c r="D259" t="s">
        <v>310</v>
      </c>
      <c r="E259">
        <v>58.445999999999998</v>
      </c>
      <c r="F259">
        <v>14.901</v>
      </c>
      <c r="G259" t="s">
        <v>368</v>
      </c>
      <c r="H259">
        <v>3</v>
      </c>
      <c r="I259">
        <v>1</v>
      </c>
    </row>
    <row r="260" spans="1:9" x14ac:dyDescent="0.25">
      <c r="A260" t="s">
        <v>311</v>
      </c>
      <c r="B260" s="13" t="s">
        <v>311</v>
      </c>
      <c r="C260">
        <v>282</v>
      </c>
      <c r="D260" t="s">
        <v>311</v>
      </c>
      <c r="E260">
        <v>57.496000000000002</v>
      </c>
      <c r="F260">
        <v>14.141999999999999</v>
      </c>
      <c r="G260" t="s">
        <v>345</v>
      </c>
      <c r="H260">
        <v>3</v>
      </c>
      <c r="I260">
        <v>1</v>
      </c>
    </row>
    <row r="261" spans="1:9" x14ac:dyDescent="0.25">
      <c r="A261" t="s">
        <v>312</v>
      </c>
      <c r="B261" s="13" t="s">
        <v>312</v>
      </c>
      <c r="C261">
        <v>283</v>
      </c>
      <c r="D261" t="s">
        <v>312</v>
      </c>
      <c r="E261">
        <v>58.204999999999998</v>
      </c>
      <c r="F261">
        <v>16.600999999999999</v>
      </c>
      <c r="G261" t="s">
        <v>368</v>
      </c>
      <c r="H261">
        <v>3</v>
      </c>
      <c r="I261">
        <v>1</v>
      </c>
    </row>
    <row r="262" spans="1:9" x14ac:dyDescent="0.25">
      <c r="A262" t="s">
        <v>313</v>
      </c>
      <c r="B262" s="13" t="s">
        <v>313</v>
      </c>
      <c r="C262">
        <v>284</v>
      </c>
      <c r="D262" t="s">
        <v>313</v>
      </c>
      <c r="E262">
        <v>59.588000000000001</v>
      </c>
      <c r="F262">
        <v>18.198</v>
      </c>
      <c r="G262" t="s">
        <v>341</v>
      </c>
      <c r="H262">
        <v>3</v>
      </c>
      <c r="I262">
        <v>1</v>
      </c>
    </row>
    <row r="263" spans="1:9" x14ac:dyDescent="0.25">
      <c r="A263" t="s">
        <v>316</v>
      </c>
      <c r="B263" s="13" t="s">
        <v>316</v>
      </c>
      <c r="C263">
        <v>287</v>
      </c>
      <c r="D263" t="s">
        <v>316</v>
      </c>
      <c r="E263">
        <v>60.509</v>
      </c>
      <c r="F263">
        <v>14.224</v>
      </c>
      <c r="G263" t="s">
        <v>349</v>
      </c>
      <c r="H263">
        <v>2</v>
      </c>
      <c r="I263">
        <v>1.2</v>
      </c>
    </row>
    <row r="264" spans="1:9" x14ac:dyDescent="0.25">
      <c r="A264" t="s">
        <v>317</v>
      </c>
      <c r="B264" s="13" t="s">
        <v>317</v>
      </c>
      <c r="C264">
        <v>288</v>
      </c>
      <c r="D264" t="s">
        <v>317</v>
      </c>
      <c r="E264">
        <v>58.322000000000003</v>
      </c>
      <c r="F264">
        <v>13.041</v>
      </c>
      <c r="G264" t="s">
        <v>342</v>
      </c>
      <c r="H264">
        <v>3</v>
      </c>
      <c r="I264">
        <v>1</v>
      </c>
    </row>
    <row r="265" spans="1:9" x14ac:dyDescent="0.25">
      <c r="A265" s="13" t="s">
        <v>318</v>
      </c>
      <c r="B265" s="13" t="s">
        <v>318</v>
      </c>
      <c r="C265">
        <v>289</v>
      </c>
      <c r="D265" s="13" t="s">
        <v>318</v>
      </c>
      <c r="G265" s="12" t="s">
        <v>365</v>
      </c>
      <c r="H265">
        <v>4</v>
      </c>
      <c r="I265" s="12">
        <v>0.9</v>
      </c>
    </row>
    <row r="266" spans="1:9" x14ac:dyDescent="0.25">
      <c r="A266" t="s">
        <v>325</v>
      </c>
      <c r="B266" s="13" t="s">
        <v>325</v>
      </c>
      <c r="C266">
        <v>296</v>
      </c>
      <c r="D266" t="s">
        <v>325</v>
      </c>
      <c r="E266">
        <v>57.418999999999997</v>
      </c>
      <c r="F266">
        <v>15.086</v>
      </c>
      <c r="G266" t="s">
        <v>345</v>
      </c>
      <c r="H266">
        <v>3</v>
      </c>
      <c r="I266">
        <v>1</v>
      </c>
    </row>
    <row r="267" spans="1:9" x14ac:dyDescent="0.25">
      <c r="A267" t="s">
        <v>326</v>
      </c>
      <c r="B267" s="13" t="s">
        <v>326</v>
      </c>
      <c r="C267">
        <v>297</v>
      </c>
      <c r="D267" t="s">
        <v>326</v>
      </c>
      <c r="E267">
        <v>64.626000000000005</v>
      </c>
      <c r="F267">
        <v>16.655999999999999</v>
      </c>
      <c r="G267" t="s">
        <v>350</v>
      </c>
      <c r="H267">
        <v>1</v>
      </c>
      <c r="I267">
        <v>1.6</v>
      </c>
    </row>
    <row r="268" spans="1:9" x14ac:dyDescent="0.25">
      <c r="A268" t="s">
        <v>327</v>
      </c>
      <c r="B268" s="13" t="s">
        <v>327</v>
      </c>
      <c r="C268">
        <v>298</v>
      </c>
      <c r="D268" t="s">
        <v>327</v>
      </c>
      <c r="E268">
        <v>57.667999999999999</v>
      </c>
      <c r="F268">
        <v>15.859</v>
      </c>
      <c r="G268" t="s">
        <v>354</v>
      </c>
      <c r="H268">
        <v>4</v>
      </c>
      <c r="I268">
        <v>1</v>
      </c>
    </row>
    <row r="269" spans="1:9" x14ac:dyDescent="0.25">
      <c r="A269" t="s">
        <v>328</v>
      </c>
      <c r="B269" s="13" t="s">
        <v>328</v>
      </c>
      <c r="C269">
        <v>299</v>
      </c>
      <c r="D269" t="s">
        <v>328</v>
      </c>
      <c r="E269">
        <v>64.2</v>
      </c>
      <c r="F269">
        <v>19.722000000000001</v>
      </c>
      <c r="G269" t="s">
        <v>350</v>
      </c>
      <c r="H269">
        <v>1</v>
      </c>
      <c r="I269">
        <v>1.5</v>
      </c>
    </row>
    <row r="270" spans="1:9" x14ac:dyDescent="0.25">
      <c r="A270" t="s">
        <v>1516</v>
      </c>
      <c r="B270" s="13" t="s">
        <v>329</v>
      </c>
      <c r="C270">
        <v>300</v>
      </c>
      <c r="D270" t="s">
        <v>329</v>
      </c>
      <c r="E270">
        <v>59.048999999999999</v>
      </c>
      <c r="F270">
        <v>15.875</v>
      </c>
      <c r="G270" t="s">
        <v>364</v>
      </c>
      <c r="H270">
        <v>3</v>
      </c>
      <c r="I270">
        <v>1</v>
      </c>
    </row>
    <row r="271" spans="1:9" x14ac:dyDescent="0.25">
      <c r="A271" t="s">
        <v>330</v>
      </c>
      <c r="B271" s="13" t="s">
        <v>330</v>
      </c>
      <c r="C271">
        <v>301</v>
      </c>
      <c r="D271" t="s">
        <v>330</v>
      </c>
      <c r="E271">
        <v>57.627000000000002</v>
      </c>
      <c r="F271">
        <v>18.306000000000001</v>
      </c>
      <c r="G271" t="s">
        <v>375</v>
      </c>
      <c r="H271">
        <v>3</v>
      </c>
      <c r="I271">
        <v>0.9</v>
      </c>
    </row>
    <row r="272" spans="1:9" x14ac:dyDescent="0.25">
      <c r="A272" t="s">
        <v>1515</v>
      </c>
      <c r="B272" s="13" t="s">
        <v>319</v>
      </c>
      <c r="C272">
        <v>290</v>
      </c>
      <c r="D272" t="s">
        <v>319</v>
      </c>
      <c r="E272">
        <v>58.033000000000001</v>
      </c>
      <c r="F272">
        <v>12.8</v>
      </c>
      <c r="G272" t="s">
        <v>342</v>
      </c>
      <c r="H272">
        <v>3</v>
      </c>
      <c r="I272">
        <v>1</v>
      </c>
    </row>
    <row r="273" spans="1:9" x14ac:dyDescent="0.25">
      <c r="A273" t="s">
        <v>1554</v>
      </c>
      <c r="B273" s="13" t="s">
        <v>314</v>
      </c>
      <c r="C273">
        <v>285</v>
      </c>
      <c r="D273" t="s">
        <v>314</v>
      </c>
      <c r="E273">
        <v>58.366999999999997</v>
      </c>
      <c r="F273">
        <v>12.323</v>
      </c>
      <c r="G273" t="s">
        <v>342</v>
      </c>
      <c r="H273">
        <v>3</v>
      </c>
      <c r="I273">
        <v>1</v>
      </c>
    </row>
    <row r="274" spans="1:9" x14ac:dyDescent="0.25">
      <c r="A274" t="s">
        <v>1555</v>
      </c>
      <c r="B274" s="13" t="s">
        <v>423</v>
      </c>
      <c r="C274">
        <v>286</v>
      </c>
      <c r="D274" t="s">
        <v>423</v>
      </c>
      <c r="E274">
        <v>63.905000000000001</v>
      </c>
      <c r="F274">
        <v>19.745999999999999</v>
      </c>
      <c r="G274" t="s">
        <v>350</v>
      </c>
      <c r="H274">
        <v>1</v>
      </c>
      <c r="I274">
        <v>1.4</v>
      </c>
    </row>
    <row r="275" spans="1:9" x14ac:dyDescent="0.25">
      <c r="A275" t="s">
        <v>1619</v>
      </c>
      <c r="B275" s="13" t="s">
        <v>320</v>
      </c>
      <c r="C275">
        <v>291</v>
      </c>
      <c r="D275" t="s">
        <v>320</v>
      </c>
      <c r="E275">
        <v>59.326999999999998</v>
      </c>
      <c r="F275">
        <v>18.39</v>
      </c>
      <c r="G275" t="s">
        <v>341</v>
      </c>
      <c r="H275">
        <v>3</v>
      </c>
      <c r="I275">
        <v>1</v>
      </c>
    </row>
    <row r="276" spans="1:9" x14ac:dyDescent="0.25">
      <c r="A276" t="s">
        <v>1556</v>
      </c>
      <c r="B276" s="13" t="s">
        <v>321</v>
      </c>
      <c r="C276">
        <v>292</v>
      </c>
      <c r="D276" t="s">
        <v>321</v>
      </c>
      <c r="E276">
        <v>57.186999999999998</v>
      </c>
      <c r="F276">
        <v>14.045999999999999</v>
      </c>
      <c r="G276" t="s">
        <v>345</v>
      </c>
      <c r="H276">
        <v>3</v>
      </c>
      <c r="I276">
        <v>1</v>
      </c>
    </row>
    <row r="277" spans="1:9" x14ac:dyDescent="0.25">
      <c r="A277" t="s">
        <v>1558</v>
      </c>
      <c r="B277" s="13" t="s">
        <v>323</v>
      </c>
      <c r="C277">
        <v>294</v>
      </c>
      <c r="D277" t="s">
        <v>323</v>
      </c>
      <c r="E277">
        <v>57.755000000000003</v>
      </c>
      <c r="F277">
        <v>16.641999999999999</v>
      </c>
      <c r="G277" t="s">
        <v>354</v>
      </c>
      <c r="H277">
        <v>4</v>
      </c>
      <c r="I277">
        <v>0.9</v>
      </c>
    </row>
    <row r="278" spans="1:9" x14ac:dyDescent="0.25">
      <c r="A278" t="s">
        <v>1557</v>
      </c>
      <c r="B278" s="13" t="s">
        <v>322</v>
      </c>
      <c r="C278">
        <v>293</v>
      </c>
      <c r="D278" t="s">
        <v>322</v>
      </c>
      <c r="E278">
        <v>59.61</v>
      </c>
      <c r="F278">
        <v>16.542999999999999</v>
      </c>
      <c r="G278" t="s">
        <v>346</v>
      </c>
      <c r="H278">
        <v>3</v>
      </c>
      <c r="I278">
        <v>1</v>
      </c>
    </row>
    <row r="279" spans="1:9" x14ac:dyDescent="0.25">
      <c r="A279" t="s">
        <v>1620</v>
      </c>
      <c r="B279" s="13" t="s">
        <v>324</v>
      </c>
      <c r="C279">
        <v>295</v>
      </c>
      <c r="D279" t="s">
        <v>324</v>
      </c>
      <c r="E279">
        <v>56.883000000000003</v>
      </c>
      <c r="F279">
        <v>14.787000000000001</v>
      </c>
      <c r="G279" t="s">
        <v>343</v>
      </c>
      <c r="H279">
        <v>3</v>
      </c>
      <c r="I279">
        <v>1</v>
      </c>
    </row>
    <row r="280" spans="1:9" x14ac:dyDescent="0.25">
      <c r="A280" t="s">
        <v>331</v>
      </c>
      <c r="B280" s="13" t="s">
        <v>331</v>
      </c>
      <c r="C280">
        <v>302</v>
      </c>
      <c r="D280" t="s">
        <v>331</v>
      </c>
      <c r="E280">
        <v>57.826999999999998</v>
      </c>
      <c r="F280">
        <v>15.273999999999999</v>
      </c>
      <c r="G280" t="s">
        <v>368</v>
      </c>
      <c r="H280">
        <v>3</v>
      </c>
      <c r="I280">
        <v>1</v>
      </c>
    </row>
    <row r="281" spans="1:9" x14ac:dyDescent="0.25">
      <c r="A281" t="s">
        <v>332</v>
      </c>
      <c r="B281" s="13" t="s">
        <v>332</v>
      </c>
      <c r="C281">
        <v>303</v>
      </c>
      <c r="D281" t="s">
        <v>332</v>
      </c>
      <c r="E281">
        <v>55.432000000000002</v>
      </c>
      <c r="F281">
        <v>13.824</v>
      </c>
      <c r="G281" t="s">
        <v>351</v>
      </c>
      <c r="H281">
        <v>4</v>
      </c>
      <c r="I281">
        <v>0.9</v>
      </c>
    </row>
    <row r="282" spans="1:9" x14ac:dyDescent="0.25">
      <c r="A282" t="s">
        <v>1497</v>
      </c>
      <c r="B282" s="13" t="s">
        <v>425</v>
      </c>
      <c r="C282">
        <v>9</v>
      </c>
      <c r="D282" t="s">
        <v>425</v>
      </c>
      <c r="E282">
        <v>59.052</v>
      </c>
      <c r="F282">
        <v>12.705</v>
      </c>
      <c r="G282" t="s">
        <v>342</v>
      </c>
      <c r="H282">
        <v>3</v>
      </c>
      <c r="I282">
        <v>1</v>
      </c>
    </row>
    <row r="283" spans="1:9" x14ac:dyDescent="0.25">
      <c r="A283" t="s">
        <v>1498</v>
      </c>
      <c r="B283" s="13" t="s">
        <v>41</v>
      </c>
      <c r="C283">
        <v>11</v>
      </c>
      <c r="D283" t="s">
        <v>41</v>
      </c>
      <c r="E283">
        <v>62.52</v>
      </c>
      <c r="F283">
        <v>15.662000000000001</v>
      </c>
      <c r="G283" t="s">
        <v>379</v>
      </c>
      <c r="H283">
        <v>2</v>
      </c>
      <c r="I283">
        <v>1.4</v>
      </c>
    </row>
    <row r="284" spans="1:9" x14ac:dyDescent="0.25">
      <c r="A284" t="s">
        <v>1499</v>
      </c>
      <c r="B284" s="13" t="s">
        <v>43</v>
      </c>
      <c r="C284">
        <v>13</v>
      </c>
      <c r="D284" t="s">
        <v>43</v>
      </c>
      <c r="E284">
        <v>63.41</v>
      </c>
      <c r="F284">
        <v>13.07</v>
      </c>
      <c r="G284" t="s">
        <v>357</v>
      </c>
      <c r="H284">
        <v>1</v>
      </c>
      <c r="I284">
        <v>1.6</v>
      </c>
    </row>
    <row r="285" spans="1:9" x14ac:dyDescent="0.25">
      <c r="A285" t="s">
        <v>1523</v>
      </c>
      <c r="B285" s="13" t="s">
        <v>426</v>
      </c>
      <c r="C285">
        <v>14</v>
      </c>
      <c r="D285" t="s">
        <v>426</v>
      </c>
      <c r="E285">
        <v>59.387</v>
      </c>
      <c r="F285">
        <v>12.135999999999999</v>
      </c>
      <c r="G285" t="s">
        <v>347</v>
      </c>
      <c r="H285">
        <v>2</v>
      </c>
      <c r="I285">
        <v>1.1000000000000001</v>
      </c>
    </row>
    <row r="286" spans="1:9" x14ac:dyDescent="0.25">
      <c r="A286" t="s">
        <v>1500</v>
      </c>
      <c r="B286" s="13" t="s">
        <v>48</v>
      </c>
      <c r="C286">
        <v>18</v>
      </c>
      <c r="D286" t="s">
        <v>48</v>
      </c>
      <c r="E286">
        <v>57.167999999999999</v>
      </c>
      <c r="F286">
        <v>15.351000000000001</v>
      </c>
      <c r="G286" t="s">
        <v>343</v>
      </c>
      <c r="H286">
        <v>3</v>
      </c>
      <c r="I286">
        <v>1</v>
      </c>
    </row>
    <row r="287" spans="1:9" x14ac:dyDescent="0.25">
      <c r="A287" t="s">
        <v>1501</v>
      </c>
      <c r="B287" t="s">
        <v>50</v>
      </c>
      <c r="C287">
        <v>20</v>
      </c>
      <c r="D287" t="s">
        <v>50</v>
      </c>
      <c r="E287">
        <v>58.198999999999998</v>
      </c>
      <c r="F287">
        <v>16.003</v>
      </c>
      <c r="G287" t="s">
        <v>368</v>
      </c>
      <c r="H287">
        <v>3</v>
      </c>
      <c r="I287">
        <v>1</v>
      </c>
    </row>
    <row r="288" spans="1:9" x14ac:dyDescent="0.25">
      <c r="A288" t="s">
        <v>1519</v>
      </c>
      <c r="B288" s="13" t="s">
        <v>35</v>
      </c>
      <c r="C288">
        <v>5</v>
      </c>
      <c r="D288" t="s">
        <v>35</v>
      </c>
      <c r="E288">
        <v>56.561</v>
      </c>
      <c r="F288">
        <v>14.146000000000001</v>
      </c>
      <c r="G288" t="s">
        <v>343</v>
      </c>
      <c r="H288">
        <v>3</v>
      </c>
      <c r="I288">
        <v>1</v>
      </c>
    </row>
    <row r="289" spans="1:9" x14ac:dyDescent="0.25">
      <c r="A289" t="s">
        <v>1520</v>
      </c>
      <c r="B289" s="13" t="s">
        <v>36</v>
      </c>
      <c r="C289">
        <v>6</v>
      </c>
      <c r="D289" t="s">
        <v>36</v>
      </c>
      <c r="E289">
        <v>61.223999999999997</v>
      </c>
      <c r="F289">
        <v>14.048</v>
      </c>
      <c r="G289" t="s">
        <v>349</v>
      </c>
      <c r="H289">
        <v>2</v>
      </c>
      <c r="I289">
        <v>1.4</v>
      </c>
    </row>
    <row r="290" spans="1:9" x14ac:dyDescent="0.25">
      <c r="A290" s="13" t="s">
        <v>1521</v>
      </c>
      <c r="B290" s="13" t="s">
        <v>38</v>
      </c>
      <c r="C290">
        <v>8</v>
      </c>
      <c r="D290" s="13" t="s">
        <v>38</v>
      </c>
      <c r="G290" s="12" t="s">
        <v>340</v>
      </c>
      <c r="H290" s="12">
        <v>1</v>
      </c>
      <c r="I290" s="12">
        <v>1.5</v>
      </c>
    </row>
    <row r="291" spans="1:9" x14ac:dyDescent="0.25">
      <c r="A291" t="s">
        <v>1522</v>
      </c>
      <c r="B291" s="13" t="s">
        <v>40</v>
      </c>
      <c r="C291">
        <v>10</v>
      </c>
      <c r="D291" t="s">
        <v>40</v>
      </c>
      <c r="E291">
        <v>56.246000000000002</v>
      </c>
      <c r="F291">
        <v>12.868</v>
      </c>
      <c r="G291" t="s">
        <v>351</v>
      </c>
      <c r="H291">
        <v>4</v>
      </c>
      <c r="I291">
        <v>0.9</v>
      </c>
    </row>
    <row r="292" spans="1:9" x14ac:dyDescent="0.25">
      <c r="A292" t="s">
        <v>1592</v>
      </c>
      <c r="B292" s="13" t="s">
        <v>212</v>
      </c>
      <c r="C292">
        <v>182</v>
      </c>
      <c r="D292" t="s">
        <v>212</v>
      </c>
      <c r="E292">
        <v>57.710999999999999</v>
      </c>
      <c r="F292">
        <v>11.647</v>
      </c>
      <c r="G292" t="s">
        <v>342</v>
      </c>
      <c r="H292">
        <v>4</v>
      </c>
      <c r="I292">
        <v>0.9</v>
      </c>
    </row>
    <row r="293" spans="1:9" x14ac:dyDescent="0.25">
      <c r="A293" t="s">
        <v>1593</v>
      </c>
      <c r="B293" s="13" t="s">
        <v>213</v>
      </c>
      <c r="C293">
        <v>183</v>
      </c>
      <c r="D293" t="s">
        <v>213</v>
      </c>
      <c r="E293">
        <v>58.23</v>
      </c>
      <c r="F293">
        <v>14.657999999999999</v>
      </c>
      <c r="G293" t="s">
        <v>368</v>
      </c>
      <c r="H293">
        <v>3</v>
      </c>
      <c r="I293">
        <v>1</v>
      </c>
    </row>
    <row r="294" spans="1:9" x14ac:dyDescent="0.25">
      <c r="A294" t="s">
        <v>1595</v>
      </c>
      <c r="B294" s="13" t="s">
        <v>215</v>
      </c>
      <c r="C294">
        <v>185</v>
      </c>
      <c r="D294" t="s">
        <v>215</v>
      </c>
      <c r="E294">
        <v>59.273000000000003</v>
      </c>
      <c r="F294">
        <v>15.211</v>
      </c>
      <c r="G294" t="s">
        <v>348</v>
      </c>
      <c r="H294">
        <v>3</v>
      </c>
      <c r="I294">
        <v>1</v>
      </c>
    </row>
    <row r="295" spans="1:9" x14ac:dyDescent="0.25">
      <c r="A295" t="s">
        <v>1596</v>
      </c>
      <c r="B295" s="13" t="s">
        <v>216</v>
      </c>
      <c r="C295">
        <v>186</v>
      </c>
      <c r="D295" t="s">
        <v>216</v>
      </c>
      <c r="E295">
        <v>56.280999999999999</v>
      </c>
      <c r="F295">
        <v>13.282999999999999</v>
      </c>
      <c r="G295" t="s">
        <v>351</v>
      </c>
      <c r="H295">
        <v>4</v>
      </c>
      <c r="I295">
        <v>1</v>
      </c>
    </row>
    <row r="296" spans="1:9" x14ac:dyDescent="0.25">
      <c r="A296" t="s">
        <v>1597</v>
      </c>
      <c r="B296" s="13" t="s">
        <v>430</v>
      </c>
      <c r="C296">
        <v>187</v>
      </c>
      <c r="D296" t="s">
        <v>430</v>
      </c>
      <c r="E296">
        <v>63.284999999999997</v>
      </c>
      <c r="F296">
        <v>18.695</v>
      </c>
      <c r="G296" t="s">
        <v>379</v>
      </c>
      <c r="H296">
        <v>2</v>
      </c>
      <c r="I296">
        <v>1.3</v>
      </c>
    </row>
    <row r="297" spans="1:9" x14ac:dyDescent="0.25">
      <c r="A297" t="s">
        <v>1599</v>
      </c>
      <c r="B297" s="13" t="s">
        <v>223</v>
      </c>
      <c r="C297">
        <v>194</v>
      </c>
      <c r="D297" t="s">
        <v>223</v>
      </c>
      <c r="E297">
        <v>63.18</v>
      </c>
      <c r="F297">
        <v>14.629</v>
      </c>
      <c r="G297" t="s">
        <v>357</v>
      </c>
      <c r="H297">
        <v>1</v>
      </c>
      <c r="I297">
        <v>1.4</v>
      </c>
    </row>
    <row r="298" spans="1:9" x14ac:dyDescent="0.25">
      <c r="A298" t="s">
        <v>1598</v>
      </c>
      <c r="B298" s="13" t="s">
        <v>222</v>
      </c>
      <c r="C298">
        <v>192</v>
      </c>
      <c r="D298" t="s">
        <v>222</v>
      </c>
      <c r="E298">
        <v>59.466999999999999</v>
      </c>
      <c r="F298">
        <v>18.317</v>
      </c>
      <c r="G298" t="s">
        <v>341</v>
      </c>
      <c r="H298">
        <v>3</v>
      </c>
      <c r="I298">
        <v>1</v>
      </c>
    </row>
    <row r="299" spans="1:9" x14ac:dyDescent="0.25">
      <c r="A299" t="s">
        <v>1600</v>
      </c>
      <c r="B299" s="13" t="s">
        <v>433</v>
      </c>
      <c r="C299">
        <v>195</v>
      </c>
      <c r="D299" t="s">
        <v>433</v>
      </c>
      <c r="E299">
        <v>60.256</v>
      </c>
      <c r="F299">
        <v>18.367000000000001</v>
      </c>
      <c r="G299" t="s">
        <v>361</v>
      </c>
      <c r="H299">
        <v>3</v>
      </c>
      <c r="I299">
        <v>1.1000000000000001</v>
      </c>
    </row>
    <row r="300" spans="1:9" x14ac:dyDescent="0.25">
      <c r="A300" s="13" t="s">
        <v>1604</v>
      </c>
      <c r="B300" s="13" t="s">
        <v>225</v>
      </c>
      <c r="C300">
        <v>199</v>
      </c>
      <c r="D300" s="13" t="s">
        <v>225</v>
      </c>
      <c r="G300" s="12" t="s">
        <v>347</v>
      </c>
      <c r="H300">
        <v>2</v>
      </c>
      <c r="I300" s="12">
        <v>1.2</v>
      </c>
    </row>
    <row r="301" spans="1:9" x14ac:dyDescent="0.25">
      <c r="A301" t="s">
        <v>1601</v>
      </c>
      <c r="B301" s="13" t="s">
        <v>226</v>
      </c>
      <c r="C301">
        <v>196</v>
      </c>
      <c r="D301" t="s">
        <v>226</v>
      </c>
      <c r="E301">
        <v>66.320999999999998</v>
      </c>
      <c r="F301">
        <v>22.847999999999999</v>
      </c>
      <c r="G301" t="s">
        <v>340</v>
      </c>
      <c r="H301">
        <v>1</v>
      </c>
      <c r="I301">
        <v>1.6</v>
      </c>
    </row>
    <row r="302" spans="1:9" x14ac:dyDescent="0.25">
      <c r="A302" t="s">
        <v>1602</v>
      </c>
      <c r="B302" s="13" t="s">
        <v>227</v>
      </c>
      <c r="C302">
        <v>197</v>
      </c>
      <c r="D302" t="s">
        <v>227</v>
      </c>
      <c r="E302">
        <v>66.382999999999996</v>
      </c>
      <c r="F302">
        <v>23.667000000000002</v>
      </c>
      <c r="G302" t="s">
        <v>340</v>
      </c>
      <c r="H302">
        <v>1</v>
      </c>
      <c r="I302">
        <v>1.6</v>
      </c>
    </row>
    <row r="303" spans="1:9" x14ac:dyDescent="0.25">
      <c r="B303" t="str">
        <f>"-"</f>
        <v>-</v>
      </c>
    </row>
    <row r="307" spans="1:9" x14ac:dyDescent="0.25">
      <c r="A307" s="394"/>
      <c r="B307" s="394"/>
      <c r="C307" s="394"/>
      <c r="D307" s="394"/>
      <c r="E307" s="394"/>
      <c r="F307" s="394"/>
      <c r="G307" s="394"/>
      <c r="H307" s="394"/>
      <c r="I307" s="394"/>
    </row>
    <row r="308" spans="1:9" x14ac:dyDescent="0.25">
      <c r="A308" s="394"/>
      <c r="B308" s="394"/>
      <c r="C308" s="394"/>
      <c r="D308" s="394"/>
      <c r="E308" s="394"/>
      <c r="F308" s="394"/>
      <c r="G308" s="394"/>
      <c r="H308" s="394"/>
      <c r="I308" s="394"/>
    </row>
    <row r="309" spans="1:9" x14ac:dyDescent="0.25">
      <c r="A309" s="394"/>
      <c r="B309" s="394"/>
      <c r="C309" s="394"/>
      <c r="D309" s="394"/>
      <c r="E309" s="394"/>
      <c r="F309" s="394"/>
      <c r="G309" s="394"/>
      <c r="H309" s="394"/>
      <c r="I309" s="394"/>
    </row>
    <row r="310" spans="1:9" x14ac:dyDescent="0.25">
      <c r="A310" s="394"/>
      <c r="B310" s="394"/>
      <c r="C310" s="394"/>
      <c r="D310" s="394"/>
      <c r="E310" s="394"/>
      <c r="F310" s="394"/>
      <c r="G310" s="394"/>
      <c r="H310" s="394"/>
      <c r="I310" s="394"/>
    </row>
    <row r="311" spans="1:9" x14ac:dyDescent="0.25">
      <c r="A311" s="394" t="s">
        <v>1521</v>
      </c>
      <c r="B311" s="394"/>
      <c r="C311" s="394"/>
      <c r="D311" s="394" t="s">
        <v>38</v>
      </c>
      <c r="E311" s="394">
        <v>65.676000000000002</v>
      </c>
      <c r="F311" s="394">
        <v>21.010999999999999</v>
      </c>
      <c r="G311" s="394" t="s">
        <v>340</v>
      </c>
      <c r="H311" s="394">
        <v>1</v>
      </c>
      <c r="I311" s="394">
        <v>1.5</v>
      </c>
    </row>
    <row r="312" spans="1:9" x14ac:dyDescent="0.25">
      <c r="A312" s="394" t="s">
        <v>344</v>
      </c>
      <c r="B312" s="394"/>
      <c r="C312" s="394"/>
      <c r="D312" s="394" t="s">
        <v>344</v>
      </c>
      <c r="E312" s="394">
        <v>57.838999999999999</v>
      </c>
      <c r="F312" s="394">
        <v>14.816000000000001</v>
      </c>
      <c r="G312" s="394" t="s">
        <v>345</v>
      </c>
      <c r="H312" s="394">
        <v>3</v>
      </c>
      <c r="I312" s="394">
        <v>1</v>
      </c>
    </row>
    <row r="313" spans="1:9" x14ac:dyDescent="0.25">
      <c r="A313" s="394" t="s">
        <v>1517</v>
      </c>
      <c r="B313" s="394"/>
      <c r="C313" s="394"/>
      <c r="D313" s="394" t="s">
        <v>427</v>
      </c>
      <c r="E313" s="394">
        <v>63.14</v>
      </c>
      <c r="F313" s="394">
        <v>14.33</v>
      </c>
      <c r="G313" s="394" t="s">
        <v>357</v>
      </c>
      <c r="H313" s="394">
        <v>1</v>
      </c>
      <c r="I313" s="394">
        <v>0.9</v>
      </c>
    </row>
    <row r="314" spans="1:9" x14ac:dyDescent="0.25">
      <c r="A314" s="394" t="s">
        <v>1518</v>
      </c>
      <c r="B314" s="394"/>
      <c r="C314" s="394"/>
      <c r="D314" s="394" t="s">
        <v>428</v>
      </c>
      <c r="E314" s="394">
        <v>56.134</v>
      </c>
      <c r="F314" s="394">
        <v>12.949</v>
      </c>
      <c r="G314" s="394" t="s">
        <v>351</v>
      </c>
      <c r="H314" s="394">
        <v>4</v>
      </c>
      <c r="I314" s="394">
        <v>0.9</v>
      </c>
    </row>
    <row r="315" spans="1:9" x14ac:dyDescent="0.25">
      <c r="A315" s="394" t="s">
        <v>353</v>
      </c>
      <c r="B315" s="394"/>
      <c r="C315" s="394"/>
      <c r="D315" s="394" t="s">
        <v>353</v>
      </c>
      <c r="E315" s="394">
        <v>59.191600000000001</v>
      </c>
      <c r="F315" s="394">
        <v>18.144100000000002</v>
      </c>
      <c r="G315" s="394" t="s">
        <v>341</v>
      </c>
      <c r="H315" s="394">
        <v>3</v>
      </c>
      <c r="I315" s="394">
        <v>1</v>
      </c>
    </row>
    <row r="316" spans="1:9" x14ac:dyDescent="0.25">
      <c r="A316" s="394" t="s">
        <v>359</v>
      </c>
      <c r="B316" s="394"/>
      <c r="C316" s="394"/>
      <c r="D316" s="394" t="s">
        <v>359</v>
      </c>
      <c r="E316" s="394">
        <v>58.55</v>
      </c>
      <c r="F316" s="394">
        <v>11.55</v>
      </c>
      <c r="G316" s="394" t="s">
        <v>342</v>
      </c>
      <c r="H316" s="394">
        <v>3</v>
      </c>
      <c r="I316" s="394">
        <v>1</v>
      </c>
    </row>
    <row r="317" spans="1:9" x14ac:dyDescent="0.25">
      <c r="A317" s="394" t="s">
        <v>1621</v>
      </c>
      <c r="B317" s="394"/>
      <c r="C317" s="394"/>
      <c r="D317" s="394" t="s">
        <v>371</v>
      </c>
      <c r="E317" s="394">
        <v>57.356999999999999</v>
      </c>
      <c r="F317" s="394">
        <v>13.734</v>
      </c>
      <c r="G317" s="394" t="s">
        <v>345</v>
      </c>
      <c r="H317" s="394">
        <v>3</v>
      </c>
      <c r="I317" s="394">
        <v>1</v>
      </c>
    </row>
    <row r="318" spans="1:9" x14ac:dyDescent="0.25">
      <c r="A318" s="394" t="s">
        <v>372</v>
      </c>
      <c r="B318" s="394"/>
      <c r="C318" s="394"/>
      <c r="D318" s="394" t="s">
        <v>372</v>
      </c>
      <c r="E318" s="394">
        <v>59.35</v>
      </c>
      <c r="F318" s="394">
        <v>13.1</v>
      </c>
      <c r="G318" s="394" t="s">
        <v>347</v>
      </c>
      <c r="H318" s="394">
        <v>2</v>
      </c>
      <c r="I318" s="394">
        <v>1</v>
      </c>
    </row>
    <row r="319" spans="1:9" x14ac:dyDescent="0.25">
      <c r="A319" s="394" t="s">
        <v>374</v>
      </c>
      <c r="B319" s="394"/>
      <c r="C319" s="394"/>
      <c r="D319" s="394" t="s">
        <v>374</v>
      </c>
      <c r="E319" s="394">
        <v>59.56</v>
      </c>
      <c r="F319" s="394">
        <v>16.53</v>
      </c>
      <c r="G319" s="394" t="s">
        <v>361</v>
      </c>
      <c r="H319" s="394">
        <v>3</v>
      </c>
      <c r="I319" s="394">
        <v>1</v>
      </c>
    </row>
    <row r="320" spans="1:9" x14ac:dyDescent="0.25">
      <c r="A320" s="394" t="s">
        <v>390</v>
      </c>
      <c r="B320" s="394"/>
      <c r="C320" s="394"/>
      <c r="D320" s="394" t="s">
        <v>390</v>
      </c>
      <c r="E320" s="394">
        <v>56.145899999999997</v>
      </c>
      <c r="F320" s="394">
        <v>15.165800000000001</v>
      </c>
      <c r="G320" s="394" t="s">
        <v>386</v>
      </c>
      <c r="H320" s="394">
        <v>4</v>
      </c>
      <c r="I320" s="394">
        <v>0.9</v>
      </c>
    </row>
    <row r="321" spans="1:9" x14ac:dyDescent="0.25">
      <c r="A321" s="394" t="s">
        <v>387</v>
      </c>
      <c r="B321" s="394"/>
      <c r="C321" s="394"/>
      <c r="D321" s="394" t="s">
        <v>387</v>
      </c>
      <c r="E321" s="394">
        <v>63.19</v>
      </c>
      <c r="F321" s="394">
        <v>14.3</v>
      </c>
      <c r="G321" s="394" t="s">
        <v>357</v>
      </c>
      <c r="H321" s="394">
        <v>1</v>
      </c>
      <c r="I321" s="394">
        <v>1.5</v>
      </c>
    </row>
    <row r="322" spans="1:9" x14ac:dyDescent="0.25">
      <c r="A322" s="394" t="s">
        <v>393</v>
      </c>
      <c r="B322" s="394"/>
      <c r="C322" s="394"/>
      <c r="D322" s="394" t="s">
        <v>393</v>
      </c>
      <c r="E322" s="394">
        <v>58.302999999999997</v>
      </c>
      <c r="F322" s="394">
        <v>15.301</v>
      </c>
      <c r="G322" s="394" t="s">
        <v>368</v>
      </c>
      <c r="H322" s="394">
        <v>3</v>
      </c>
      <c r="I322" s="394">
        <v>1</v>
      </c>
    </row>
    <row r="323" spans="1:9" x14ac:dyDescent="0.25">
      <c r="A323" s="394" t="s">
        <v>394</v>
      </c>
      <c r="B323" s="394"/>
      <c r="C323" s="394"/>
      <c r="D323" s="394" t="s">
        <v>394</v>
      </c>
      <c r="E323" s="394">
        <v>59.52</v>
      </c>
      <c r="F323" s="394">
        <v>14.59</v>
      </c>
      <c r="G323" s="394" t="s">
        <v>348</v>
      </c>
      <c r="H323" s="394">
        <v>3</v>
      </c>
      <c r="I323" s="394">
        <v>1</v>
      </c>
    </row>
    <row r="324" spans="1:9" x14ac:dyDescent="0.25">
      <c r="A324" s="394" t="s">
        <v>1559</v>
      </c>
      <c r="B324" s="394"/>
      <c r="C324" s="394"/>
      <c r="D324" s="394" t="s">
        <v>399</v>
      </c>
      <c r="E324" s="394">
        <v>58.25</v>
      </c>
      <c r="F324" s="394">
        <v>15.31</v>
      </c>
      <c r="G324" s="394" t="s">
        <v>368</v>
      </c>
      <c r="H324" s="394">
        <v>3</v>
      </c>
      <c r="I324" s="394">
        <v>1</v>
      </c>
    </row>
    <row r="325" spans="1:9" x14ac:dyDescent="0.25">
      <c r="A325" s="394" t="s">
        <v>401</v>
      </c>
      <c r="B325" s="394"/>
      <c r="C325" s="394"/>
      <c r="D325" s="394" t="s">
        <v>401</v>
      </c>
      <c r="E325" s="394">
        <v>57.31</v>
      </c>
      <c r="F325" s="394">
        <v>12.41</v>
      </c>
      <c r="G325" s="394" t="s">
        <v>342</v>
      </c>
      <c r="H325" s="394">
        <v>3</v>
      </c>
      <c r="I325" s="394">
        <v>1</v>
      </c>
    </row>
    <row r="326" spans="1:9" x14ac:dyDescent="0.25">
      <c r="A326" s="394" t="s">
        <v>1622</v>
      </c>
      <c r="B326" s="394"/>
      <c r="C326" s="394"/>
      <c r="D326" s="394" t="s">
        <v>403</v>
      </c>
      <c r="E326" s="394">
        <v>56.11</v>
      </c>
      <c r="F326" s="394">
        <v>14.44</v>
      </c>
      <c r="G326" s="394" t="s">
        <v>386</v>
      </c>
      <c r="H326" s="394">
        <v>4</v>
      </c>
      <c r="I326" s="394">
        <v>0.9</v>
      </c>
    </row>
    <row r="327" spans="1:9" x14ac:dyDescent="0.25">
      <c r="A327" s="394" t="s">
        <v>1623</v>
      </c>
      <c r="B327" s="394"/>
      <c r="C327" s="394"/>
      <c r="D327" s="394" t="s">
        <v>402</v>
      </c>
      <c r="E327" s="394">
        <v>57.917000000000002</v>
      </c>
      <c r="F327" s="394">
        <v>13.879</v>
      </c>
      <c r="G327" s="394" t="s">
        <v>345</v>
      </c>
      <c r="H327" s="394">
        <v>3</v>
      </c>
      <c r="I327" s="394">
        <v>1</v>
      </c>
    </row>
    <row r="328" spans="1:9" x14ac:dyDescent="0.25">
      <c r="A328" s="394" t="s">
        <v>409</v>
      </c>
      <c r="B328" s="394"/>
      <c r="C328" s="394"/>
      <c r="D328" s="394" t="s">
        <v>409</v>
      </c>
      <c r="E328" s="394">
        <v>56.137999999999998</v>
      </c>
      <c r="F328" s="394">
        <v>13.395</v>
      </c>
      <c r="G328" s="394" t="s">
        <v>351</v>
      </c>
      <c r="H328" s="394">
        <v>4</v>
      </c>
      <c r="I328" s="394">
        <v>0.9</v>
      </c>
    </row>
    <row r="329" spans="1:9" x14ac:dyDescent="0.25">
      <c r="A329" s="394" t="s">
        <v>1624</v>
      </c>
      <c r="B329" s="394"/>
      <c r="C329" s="394"/>
      <c r="D329" s="394" t="s">
        <v>412</v>
      </c>
      <c r="E329" s="394">
        <v>56.15</v>
      </c>
      <c r="F329" s="394">
        <v>15.37</v>
      </c>
      <c r="G329" s="394" t="s">
        <v>386</v>
      </c>
      <c r="H329" s="394">
        <v>4</v>
      </c>
      <c r="I329" s="394">
        <v>0.9</v>
      </c>
    </row>
    <row r="330" spans="1:9" x14ac:dyDescent="0.25">
      <c r="A330" s="394" t="s">
        <v>1560</v>
      </c>
      <c r="B330" s="394"/>
      <c r="C330" s="394"/>
      <c r="D330" s="394" t="s">
        <v>417</v>
      </c>
      <c r="E330" s="394">
        <v>59.25</v>
      </c>
      <c r="F330" s="394">
        <v>16.28</v>
      </c>
      <c r="G330" s="394" t="s">
        <v>364</v>
      </c>
      <c r="H330" s="394">
        <v>3</v>
      </c>
      <c r="I330" s="394">
        <v>1</v>
      </c>
    </row>
    <row r="331" spans="1:9" x14ac:dyDescent="0.25">
      <c r="A331" s="394" t="s">
        <v>418</v>
      </c>
      <c r="B331" s="394"/>
      <c r="C331" s="394"/>
      <c r="D331" s="394" t="s">
        <v>418</v>
      </c>
      <c r="E331" s="394">
        <v>59.12</v>
      </c>
      <c r="F331" s="394">
        <v>17.489999999999998</v>
      </c>
      <c r="G331" s="394" t="s">
        <v>341</v>
      </c>
      <c r="H331" s="394">
        <v>3</v>
      </c>
      <c r="I331" s="394">
        <v>1</v>
      </c>
    </row>
  </sheetData>
  <sortState xmlns:xlrd2="http://schemas.microsoft.com/office/spreadsheetml/2017/richdata2" ref="A1:I302">
    <sortCondition ref="B1:B302" customList="A,a,B,b,C,c,D,d,E,e,F,f,G,g,H,h,I,i,J,j,K,k,L,l,M,m,N,n,O,o,P,p,Q,q,R,r,S,s,T,t,U,u,V,v,W,w,X,x,Y,y,Z,z,Å,å,Ä,ä,Ö,ö"/>
  </sortState>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0D324447E2773940B9B2A89A6ECF6BC3" ma:contentTypeVersion="18" ma:contentTypeDescription="Skapa ett nytt dokument." ma:contentTypeScope="" ma:versionID="eb840eb67ec850125047b21f49577972">
  <xsd:schema xmlns:xsd="http://www.w3.org/2001/XMLSchema" xmlns:xs="http://www.w3.org/2001/XMLSchema" xmlns:p="http://schemas.microsoft.com/office/2006/metadata/properties" xmlns:ns1="http://schemas.microsoft.com/sharepoint/v3" xmlns:ns2="f3052e74-9dd6-425a-83a0-47bce9aee2ca" xmlns:ns3="838f71c9-9e47-4f7a-a99f-b02781981bc2" targetNamespace="http://schemas.microsoft.com/office/2006/metadata/properties" ma:root="true" ma:fieldsID="f0d0cea374b75da2987c9f052bf88475" ns1:_="" ns2:_="" ns3:_="">
    <xsd:import namespace="http://schemas.microsoft.com/sharepoint/v3"/>
    <xsd:import namespace="f3052e74-9dd6-425a-83a0-47bce9aee2ca"/>
    <xsd:import namespace="838f71c9-9e47-4f7a-a99f-b02781981bc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1:_ip_UnifiedCompliancePolicyProperties" minOccurs="0"/>
                <xsd:element ref="ns1:_ip_UnifiedCompliancePolicyUIAc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Egenskaper för enhetlig efterlevnadsprincip" ma:hidden="true" ma:internalName="_ip_UnifiedCompliancePolicyProperties">
      <xsd:simpleType>
        <xsd:restriction base="dms:Note"/>
      </xsd:simpleType>
    </xsd:element>
    <xsd:element name="_ip_UnifiedCompliancePolicyUIAction" ma:index="22" nillable="true" ma:displayName="Gränssnittsåtgärd för enhetlig efterlevnadsprincip"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52e74-9dd6-425a-83a0-47bce9aee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Bildmarkeringar" ma:readOnly="false" ma:fieldId="{5cf76f15-5ced-4ddc-b409-7134ff3c332f}" ma:taxonomyMulti="true" ma:sspId="0673cd2f-ce6e-4ea0-afbc-30713b89691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38f71c9-9e47-4f7a-a99f-b02781981bc2" elementFormDefault="qualified">
    <xsd:import namespace="http://schemas.microsoft.com/office/2006/documentManagement/types"/>
    <xsd:import namespace="http://schemas.microsoft.com/office/infopath/2007/PartnerControls"/>
    <xsd:element name="SharedWithUsers" ma:index="19"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lat med information" ma:internalName="SharedWithDetails" ma:readOnly="true">
      <xsd:simpleType>
        <xsd:restriction base="dms:Note">
          <xsd:maxLength value="255"/>
        </xsd:restriction>
      </xsd:simpleType>
    </xsd:element>
    <xsd:element name="TaxCatchAll" ma:index="25" nillable="true" ma:displayName="Taxonomy Catch All Column" ma:hidden="true" ma:list="{95bf66cd-7463-4b3a-9bb2-1fcaaba000b8}" ma:internalName="TaxCatchAll" ma:showField="CatchAllData" ma:web="838f71c9-9e47-4f7a-a99f-b02781981bc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A4A75E6-6732-48A2-BC95-2E3BCD25A257}">
  <ds:schemaRefs>
    <ds:schemaRef ds:uri="http://schemas.microsoft.com/sharepoint/v3/contenttype/forms"/>
  </ds:schemaRefs>
</ds:datastoreItem>
</file>

<file path=customXml/itemProps2.xml><?xml version="1.0" encoding="utf-8"?>
<ds:datastoreItem xmlns:ds="http://schemas.openxmlformats.org/officeDocument/2006/customXml" ds:itemID="{96206E71-6BB9-4D2B-B4CF-2B911CCFB7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052e74-9dd6-425a-83a0-47bce9aee2ca"/>
    <ds:schemaRef ds:uri="838f71c9-9e47-4f7a-a99f-b02781981b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11</vt:i4>
      </vt:variant>
    </vt:vector>
  </HeadingPairs>
  <TitlesOfParts>
    <vt:vector size="11" baseType="lpstr">
      <vt:lpstr>Om SGBC-verktyget </vt:lpstr>
      <vt:lpstr>Valbara orter</vt:lpstr>
      <vt:lpstr>Indata byggnad och BBR krav</vt:lpstr>
      <vt:lpstr>Mätvärden</vt:lpstr>
      <vt:lpstr>Mätvärden referensår</vt:lpstr>
      <vt:lpstr>Resultat</vt:lpstr>
      <vt:lpstr>Statistik</vt:lpstr>
      <vt:lpstr>Ortdata</vt:lpstr>
      <vt:lpstr>Ortlista</vt:lpstr>
      <vt:lpstr>Normalår</vt:lpstr>
      <vt:lpstr>Sänkningsvärde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mari-liis</dc:creator>
  <cp:lastModifiedBy>Karin Glader</cp:lastModifiedBy>
  <cp:lastPrinted>2021-05-19T21:34:25Z</cp:lastPrinted>
  <dcterms:created xsi:type="dcterms:W3CDTF">2021-01-29T08:37:19Z</dcterms:created>
  <dcterms:modified xsi:type="dcterms:W3CDTF">2022-09-30T11:22:08Z</dcterms:modified>
</cp:coreProperties>
</file>